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년 진료실적\병원선512호 21년 진료실적\"/>
    </mc:Choice>
  </mc:AlternateContent>
  <bookViews>
    <workbookView xWindow="0" yWindow="0" windowWidth="28545" windowHeight="11865" tabRatio="650"/>
  </bookViews>
  <sheets>
    <sheet name="진료실적" sheetId="1" r:id="rId1"/>
    <sheet name="월별" sheetId="2" r:id="rId2"/>
    <sheet name="VXXXXX" sheetId="3" state="hidden" r:id="rId3"/>
    <sheet name="시군별 " sheetId="4" r:id="rId4"/>
    <sheet name="질환별(의과)" sheetId="5" r:id="rId5"/>
    <sheet name="질환별(한방)" sheetId="6" r:id="rId6"/>
    <sheet name="질환별(치과)" sheetId="7" r:id="rId7"/>
    <sheet name="무의도서별(의과) " sheetId="8" r:id="rId8"/>
    <sheet name="무의도서별(한방과)" sheetId="9" r:id="rId9"/>
    <sheet name="무의도서별(치과)" sheetId="10" r:id="rId10"/>
    <sheet name="무의도서별(임상병리)" sheetId="11" r:id="rId11"/>
    <sheet name="무의도서별(방사선)" sheetId="12" r:id="rId12"/>
    <sheet name="보건진료소 진료실적" sheetId="13" r:id="rId13"/>
  </sheets>
  <definedNames>
    <definedName name="_xlnm._FilterDatabase" localSheetId="12" hidden="1">'보건진료소 진료실적'!$C$1:$C$21</definedName>
    <definedName name="_xlnm.Print_Titles" localSheetId="11">'무의도서별(방사선)'!$2:$4</definedName>
    <definedName name="_xlnm.Print_Titles" localSheetId="7">'무의도서별(의과) '!$2:$4</definedName>
    <definedName name="_xlnm.Print_Titles" localSheetId="10">'무의도서별(임상병리)'!$2:$4</definedName>
    <definedName name="_xlnm.Print_Titles" localSheetId="9">'무의도서별(치과)'!$2:$4</definedName>
    <definedName name="_xlnm.Print_Titles" localSheetId="8">'무의도서별(한방과)'!$2:$4</definedName>
  </definedNames>
  <calcPr calcId="162913"/>
</workbook>
</file>

<file path=xl/calcChain.xml><?xml version="1.0" encoding="utf-8"?>
<calcChain xmlns="http://schemas.openxmlformats.org/spreadsheetml/2006/main">
  <c r="N21" i="13" l="1"/>
  <c r="M21" i="13"/>
  <c r="F21" i="13"/>
  <c r="E21" i="13"/>
  <c r="N20" i="13"/>
  <c r="M20" i="13"/>
  <c r="F20" i="13"/>
  <c r="E20" i="13"/>
  <c r="N19" i="13"/>
  <c r="M19" i="13"/>
  <c r="F19" i="13"/>
  <c r="E19" i="13"/>
  <c r="N18" i="13"/>
  <c r="M18" i="13"/>
  <c r="F18" i="13"/>
  <c r="E18" i="13"/>
  <c r="N17" i="13"/>
  <c r="M17" i="13"/>
  <c r="F17" i="13"/>
  <c r="E17" i="13"/>
  <c r="N16" i="13"/>
  <c r="M16" i="13"/>
  <c r="F16" i="13"/>
  <c r="E16" i="13"/>
  <c r="N15" i="13"/>
  <c r="M15" i="13"/>
  <c r="F15" i="13"/>
  <c r="E15" i="13"/>
  <c r="N14" i="13"/>
  <c r="M14" i="13"/>
  <c r="F14" i="13"/>
  <c r="E14" i="13"/>
  <c r="N13" i="13"/>
  <c r="M13" i="13"/>
  <c r="F13" i="13"/>
  <c r="E13" i="13"/>
  <c r="N12" i="13"/>
  <c r="M12" i="13"/>
  <c r="F12" i="13"/>
  <c r="E12" i="13"/>
  <c r="N11" i="13"/>
  <c r="M11" i="13"/>
  <c r="F11" i="13"/>
  <c r="E11" i="13"/>
  <c r="N10" i="13"/>
  <c r="M10" i="13"/>
  <c r="F10" i="13"/>
  <c r="E10" i="13"/>
  <c r="N9" i="13"/>
  <c r="M9" i="13"/>
  <c r="F9" i="13"/>
  <c r="E9" i="13"/>
  <c r="N8" i="13"/>
  <c r="M8" i="13"/>
  <c r="F8" i="13"/>
  <c r="E8" i="13"/>
  <c r="P7" i="13"/>
  <c r="N7" i="13" s="1"/>
  <c r="O7" i="13"/>
  <c r="M7" i="13" s="1"/>
  <c r="F7" i="13"/>
  <c r="E7" i="13"/>
  <c r="N6" i="13"/>
  <c r="M6" i="13"/>
  <c r="F6" i="13"/>
  <c r="E6" i="13"/>
  <c r="R5" i="13"/>
  <c r="Q5" i="13"/>
  <c r="P5" i="13"/>
  <c r="N5" i="13" s="1"/>
  <c r="O5" i="13"/>
  <c r="M5" i="13"/>
  <c r="L5" i="13"/>
  <c r="K5" i="13"/>
  <c r="J5" i="13"/>
  <c r="I5" i="13"/>
  <c r="H5" i="13"/>
  <c r="F5" i="13" s="1"/>
  <c r="G5" i="13"/>
  <c r="E5" i="13"/>
  <c r="G80" i="12"/>
  <c r="F80" i="12"/>
  <c r="E80" i="12"/>
  <c r="G79" i="12"/>
  <c r="F79" i="12"/>
  <c r="E79" i="12"/>
  <c r="G78" i="12"/>
  <c r="F78" i="12"/>
  <c r="E78" i="12"/>
  <c r="G77" i="12"/>
  <c r="F77" i="12"/>
  <c r="E77" i="12"/>
  <c r="G76" i="12"/>
  <c r="F76" i="12"/>
  <c r="E76" i="12"/>
  <c r="G75" i="12"/>
  <c r="F75" i="12"/>
  <c r="E75" i="12"/>
  <c r="G74" i="12"/>
  <c r="F74" i="12"/>
  <c r="E74" i="12"/>
  <c r="G73" i="12"/>
  <c r="F73" i="12"/>
  <c r="E73" i="12"/>
  <c r="G72" i="12"/>
  <c r="F72" i="12"/>
  <c r="E72" i="12"/>
  <c r="G71" i="12"/>
  <c r="F71" i="12"/>
  <c r="E71" i="12"/>
  <c r="G70" i="12"/>
  <c r="F70" i="12"/>
  <c r="E70" i="12"/>
  <c r="G69" i="12"/>
  <c r="F69" i="12"/>
  <c r="E69" i="12"/>
  <c r="G68" i="12"/>
  <c r="F68" i="12"/>
  <c r="E68" i="12"/>
  <c r="G67" i="12"/>
  <c r="F67" i="12"/>
  <c r="E67" i="12"/>
  <c r="G66" i="12"/>
  <c r="F66" i="12"/>
  <c r="E66" i="12"/>
  <c r="G65" i="12"/>
  <c r="F65" i="12"/>
  <c r="E65" i="12"/>
  <c r="G64" i="12"/>
  <c r="F64" i="12"/>
  <c r="E64" i="12"/>
  <c r="G63" i="12"/>
  <c r="F63" i="12"/>
  <c r="E63" i="12"/>
  <c r="G62" i="12"/>
  <c r="F62" i="12"/>
  <c r="E62" i="12"/>
  <c r="G61" i="12"/>
  <c r="F61" i="12"/>
  <c r="E61" i="12"/>
  <c r="G60" i="12"/>
  <c r="F60" i="12"/>
  <c r="E60" i="12"/>
  <c r="G59" i="12"/>
  <c r="F59" i="12"/>
  <c r="E59" i="12"/>
  <c r="G58" i="12"/>
  <c r="F58" i="12"/>
  <c r="E58" i="12"/>
  <c r="G57" i="12"/>
  <c r="F57" i="12"/>
  <c r="E57" i="12"/>
  <c r="G56" i="12"/>
  <c r="F56" i="12"/>
  <c r="E56" i="12"/>
  <c r="G55" i="12"/>
  <c r="F55" i="12"/>
  <c r="E55" i="12"/>
  <c r="G54" i="12"/>
  <c r="F54" i="12"/>
  <c r="E54" i="12"/>
  <c r="G53" i="12"/>
  <c r="F53" i="12"/>
  <c r="E53" i="12"/>
  <c r="G52" i="12"/>
  <c r="F52" i="12"/>
  <c r="E52" i="12"/>
  <c r="G51" i="12"/>
  <c r="F51" i="12"/>
  <c r="E51" i="12"/>
  <c r="G50" i="12"/>
  <c r="F50" i="12"/>
  <c r="E50" i="12"/>
  <c r="G49" i="12"/>
  <c r="F49" i="12"/>
  <c r="E49" i="12"/>
  <c r="G48" i="12"/>
  <c r="F48" i="12"/>
  <c r="E48" i="12"/>
  <c r="G47" i="12"/>
  <c r="F47" i="12"/>
  <c r="E47" i="12"/>
  <c r="G46" i="12"/>
  <c r="F46" i="12"/>
  <c r="E46" i="12"/>
  <c r="G45" i="12"/>
  <c r="F45" i="12"/>
  <c r="E45" i="12"/>
  <c r="G44" i="12"/>
  <c r="F44" i="12"/>
  <c r="E44" i="12"/>
  <c r="G43" i="12"/>
  <c r="F43" i="12"/>
  <c r="E43" i="12"/>
  <c r="G42" i="12"/>
  <c r="F42" i="12"/>
  <c r="E42" i="12"/>
  <c r="G41" i="12"/>
  <c r="F41" i="12"/>
  <c r="E41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33" i="12"/>
  <c r="F33" i="12"/>
  <c r="E33" i="12"/>
  <c r="G32" i="12"/>
  <c r="F32" i="12"/>
  <c r="E32" i="12"/>
  <c r="G31" i="12"/>
  <c r="F31" i="12"/>
  <c r="E31" i="12"/>
  <c r="G30" i="12"/>
  <c r="F30" i="12"/>
  <c r="E30" i="12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G21" i="12"/>
  <c r="F21" i="12"/>
  <c r="E21" i="12"/>
  <c r="G20" i="12"/>
  <c r="F20" i="12"/>
  <c r="E20" i="12"/>
  <c r="G19" i="12"/>
  <c r="F19" i="12"/>
  <c r="E19" i="12"/>
  <c r="G18" i="12"/>
  <c r="F18" i="12"/>
  <c r="E18" i="12"/>
  <c r="G17" i="12"/>
  <c r="F17" i="12"/>
  <c r="E17" i="12"/>
  <c r="G16" i="12"/>
  <c r="F16" i="12"/>
  <c r="E16" i="12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E5" i="12" s="1"/>
  <c r="G8" i="12"/>
  <c r="F8" i="12"/>
  <c r="E8" i="12"/>
  <c r="G7" i="12"/>
  <c r="F7" i="12"/>
  <c r="E7" i="12"/>
  <c r="G6" i="12"/>
  <c r="F6" i="12"/>
  <c r="F5" i="12" s="1"/>
  <c r="E6" i="12"/>
  <c r="AA5" i="12"/>
  <c r="Z5" i="12"/>
  <c r="Y5" i="12"/>
  <c r="W5" i="12"/>
  <c r="V5" i="12"/>
  <c r="U5" i="12"/>
  <c r="R5" i="12"/>
  <c r="Q5" i="12"/>
  <c r="O5" i="12"/>
  <c r="N5" i="12"/>
  <c r="M5" i="12"/>
  <c r="K5" i="12"/>
  <c r="J5" i="12"/>
  <c r="I5" i="12"/>
  <c r="G5" i="12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8" i="11"/>
  <c r="F38" i="11"/>
  <c r="E38" i="11"/>
  <c r="G37" i="11"/>
  <c r="F37" i="11"/>
  <c r="E37" i="11"/>
  <c r="G36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E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E15" i="11"/>
  <c r="G14" i="11"/>
  <c r="F14" i="11"/>
  <c r="E14" i="11"/>
  <c r="G13" i="11"/>
  <c r="F13" i="11"/>
  <c r="E13" i="11"/>
  <c r="G12" i="11"/>
  <c r="F12" i="11"/>
  <c r="F5" i="11" s="1"/>
  <c r="E12" i="11"/>
  <c r="G11" i="11"/>
  <c r="F11" i="11"/>
  <c r="E11" i="11"/>
  <c r="G10" i="11"/>
  <c r="F10" i="11"/>
  <c r="E10" i="11"/>
  <c r="G9" i="11"/>
  <c r="G5" i="11" s="1"/>
  <c r="F9" i="11"/>
  <c r="E9" i="11"/>
  <c r="G8" i="11"/>
  <c r="F8" i="11"/>
  <c r="E8" i="11"/>
  <c r="G7" i="11"/>
  <c r="F7" i="11"/>
  <c r="E7" i="11"/>
  <c r="E5" i="11" s="1"/>
  <c r="G6" i="11"/>
  <c r="F6" i="11"/>
  <c r="E6" i="11"/>
  <c r="AA5" i="11"/>
  <c r="Z5" i="11"/>
  <c r="Y5" i="11"/>
  <c r="W5" i="11"/>
  <c r="V5" i="11"/>
  <c r="U5" i="11"/>
  <c r="R5" i="11"/>
  <c r="Q5" i="11"/>
  <c r="O5" i="11"/>
  <c r="N5" i="11"/>
  <c r="M5" i="11"/>
  <c r="K5" i="11"/>
  <c r="J5" i="11"/>
  <c r="I5" i="11"/>
  <c r="G80" i="10"/>
  <c r="F80" i="10"/>
  <c r="E80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G75" i="10"/>
  <c r="F75" i="10"/>
  <c r="E75" i="10"/>
  <c r="G74" i="10"/>
  <c r="F74" i="10"/>
  <c r="E74" i="10"/>
  <c r="G73" i="10"/>
  <c r="F73" i="10"/>
  <c r="E73" i="10"/>
  <c r="G72" i="10"/>
  <c r="F72" i="10"/>
  <c r="E72" i="10"/>
  <c r="G71" i="10"/>
  <c r="F71" i="10"/>
  <c r="E71" i="10"/>
  <c r="G70" i="10"/>
  <c r="F70" i="10"/>
  <c r="E70" i="10"/>
  <c r="G69" i="10"/>
  <c r="F69" i="10"/>
  <c r="E69" i="10"/>
  <c r="G68" i="10"/>
  <c r="F68" i="10"/>
  <c r="E68" i="10"/>
  <c r="G67" i="10"/>
  <c r="F67" i="10"/>
  <c r="E67" i="10"/>
  <c r="G66" i="10"/>
  <c r="F66" i="10"/>
  <c r="E66" i="10"/>
  <c r="G65" i="10"/>
  <c r="F65" i="10"/>
  <c r="E65" i="10"/>
  <c r="G64" i="10"/>
  <c r="F64" i="10"/>
  <c r="E64" i="10"/>
  <c r="G63" i="10"/>
  <c r="F63" i="10"/>
  <c r="E63" i="10"/>
  <c r="G62" i="10"/>
  <c r="F62" i="10"/>
  <c r="E62" i="10"/>
  <c r="G61" i="10"/>
  <c r="F61" i="10"/>
  <c r="E61" i="10"/>
  <c r="G60" i="10"/>
  <c r="F60" i="10"/>
  <c r="E60" i="10"/>
  <c r="G59" i="10"/>
  <c r="F59" i="10"/>
  <c r="E59" i="10"/>
  <c r="G58" i="10"/>
  <c r="F58" i="10"/>
  <c r="E58" i="10"/>
  <c r="G57" i="10"/>
  <c r="F57" i="10"/>
  <c r="E57" i="10"/>
  <c r="G56" i="10"/>
  <c r="F56" i="10"/>
  <c r="E56" i="10"/>
  <c r="G55" i="10"/>
  <c r="F55" i="10"/>
  <c r="E55" i="10"/>
  <c r="G54" i="10"/>
  <c r="F54" i="10"/>
  <c r="E54" i="10"/>
  <c r="G53" i="10"/>
  <c r="F53" i="10"/>
  <c r="E53" i="10"/>
  <c r="G52" i="10"/>
  <c r="F52" i="10"/>
  <c r="E52" i="10"/>
  <c r="G51" i="10"/>
  <c r="F51" i="10"/>
  <c r="E51" i="10"/>
  <c r="G50" i="10"/>
  <c r="F50" i="10"/>
  <c r="E50" i="10"/>
  <c r="G49" i="10"/>
  <c r="F49" i="10"/>
  <c r="E49" i="10"/>
  <c r="G48" i="10"/>
  <c r="F48" i="10"/>
  <c r="E48" i="10"/>
  <c r="G47" i="10"/>
  <c r="F47" i="10"/>
  <c r="E47" i="10"/>
  <c r="G46" i="10"/>
  <c r="F46" i="10"/>
  <c r="E46" i="10"/>
  <c r="G45" i="10"/>
  <c r="F45" i="10"/>
  <c r="E45" i="10"/>
  <c r="G44" i="10"/>
  <c r="F44" i="10"/>
  <c r="E44" i="10"/>
  <c r="G43" i="10"/>
  <c r="F43" i="10"/>
  <c r="E43" i="10"/>
  <c r="G42" i="10"/>
  <c r="F42" i="10"/>
  <c r="E42" i="10"/>
  <c r="G41" i="10"/>
  <c r="F41" i="10"/>
  <c r="E41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G32" i="10"/>
  <c r="F32" i="10"/>
  <c r="E32" i="10"/>
  <c r="G31" i="10"/>
  <c r="F31" i="10"/>
  <c r="E31" i="10"/>
  <c r="G30" i="10"/>
  <c r="F30" i="10"/>
  <c r="E30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G25" i="10"/>
  <c r="F25" i="10"/>
  <c r="E25" i="10"/>
  <c r="G24" i="10"/>
  <c r="F24" i="10"/>
  <c r="E24" i="10"/>
  <c r="G23" i="10"/>
  <c r="F23" i="10"/>
  <c r="E23" i="10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F12" i="10"/>
  <c r="E12" i="10"/>
  <c r="G11" i="10"/>
  <c r="F11" i="10"/>
  <c r="E11" i="10"/>
  <c r="G10" i="10"/>
  <c r="F10" i="10"/>
  <c r="F5" i="10" s="1"/>
  <c r="E10" i="10"/>
  <c r="G9" i="10"/>
  <c r="F9" i="10"/>
  <c r="E9" i="10"/>
  <c r="G8" i="10"/>
  <c r="F8" i="10"/>
  <c r="E8" i="10"/>
  <c r="G7" i="10"/>
  <c r="G5" i="10" s="1"/>
  <c r="F7" i="10"/>
  <c r="E7" i="10"/>
  <c r="G6" i="10"/>
  <c r="F6" i="10"/>
  <c r="E6" i="10"/>
  <c r="E5" i="10" s="1"/>
  <c r="AA5" i="10"/>
  <c r="Z5" i="10"/>
  <c r="Y5" i="10"/>
  <c r="W5" i="10"/>
  <c r="V5" i="10"/>
  <c r="U5" i="10"/>
  <c r="R5" i="10"/>
  <c r="Q5" i="10"/>
  <c r="O5" i="10"/>
  <c r="N5" i="10"/>
  <c r="M5" i="10"/>
  <c r="K5" i="10"/>
  <c r="J5" i="10"/>
  <c r="I5" i="10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E5" i="9" s="1"/>
  <c r="G10" i="9"/>
  <c r="F10" i="9"/>
  <c r="E10" i="9"/>
  <c r="G9" i="9"/>
  <c r="F9" i="9"/>
  <c r="E9" i="9"/>
  <c r="G8" i="9"/>
  <c r="F8" i="9"/>
  <c r="F5" i="9" s="1"/>
  <c r="E8" i="9"/>
  <c r="G7" i="9"/>
  <c r="F7" i="9"/>
  <c r="E7" i="9"/>
  <c r="G6" i="9"/>
  <c r="G5" i="9" s="1"/>
  <c r="F6" i="9"/>
  <c r="E6" i="9"/>
  <c r="AE5" i="9"/>
  <c r="AD5" i="9"/>
  <c r="AC5" i="9"/>
  <c r="AA5" i="9"/>
  <c r="Z5" i="9"/>
  <c r="Y5" i="9"/>
  <c r="W5" i="9"/>
  <c r="V5" i="9"/>
  <c r="U5" i="9"/>
  <c r="S5" i="9"/>
  <c r="R5" i="9"/>
  <c r="Q5" i="9"/>
  <c r="O5" i="9"/>
  <c r="N5" i="9"/>
  <c r="M5" i="9"/>
  <c r="K5" i="9"/>
  <c r="J5" i="9"/>
  <c r="I5" i="9"/>
  <c r="G80" i="8"/>
  <c r="F80" i="8"/>
  <c r="E80" i="8"/>
  <c r="G79" i="8"/>
  <c r="F79" i="8"/>
  <c r="E79" i="8"/>
  <c r="G78" i="8"/>
  <c r="F78" i="8"/>
  <c r="E78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G52" i="8"/>
  <c r="F52" i="8"/>
  <c r="E52" i="8"/>
  <c r="G51" i="8"/>
  <c r="F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G46" i="8"/>
  <c r="F46" i="8"/>
  <c r="E46" i="8"/>
  <c r="G45" i="8"/>
  <c r="F45" i="8"/>
  <c r="E45" i="8"/>
  <c r="G44" i="8"/>
  <c r="F44" i="8"/>
  <c r="E44" i="8"/>
  <c r="G43" i="8"/>
  <c r="F43" i="8"/>
  <c r="E43" i="8"/>
  <c r="G42" i="8"/>
  <c r="F42" i="8"/>
  <c r="E42" i="8"/>
  <c r="G41" i="8"/>
  <c r="F41" i="8"/>
  <c r="E41" i="8"/>
  <c r="G40" i="8"/>
  <c r="F40" i="8"/>
  <c r="E40" i="8"/>
  <c r="G39" i="8"/>
  <c r="F39" i="8"/>
  <c r="E39" i="8"/>
  <c r="G38" i="8"/>
  <c r="F38" i="8"/>
  <c r="E38" i="8"/>
  <c r="G37" i="8"/>
  <c r="F37" i="8"/>
  <c r="E37" i="8"/>
  <c r="G36" i="8"/>
  <c r="F36" i="8"/>
  <c r="E36" i="8"/>
  <c r="G35" i="8"/>
  <c r="F35" i="8"/>
  <c r="E35" i="8"/>
  <c r="G34" i="8"/>
  <c r="F34" i="8"/>
  <c r="E34" i="8"/>
  <c r="G33" i="8"/>
  <c r="F33" i="8"/>
  <c r="E33" i="8"/>
  <c r="G32" i="8"/>
  <c r="F32" i="8"/>
  <c r="E32" i="8"/>
  <c r="G31" i="8"/>
  <c r="F31" i="8"/>
  <c r="E31" i="8"/>
  <c r="G30" i="8"/>
  <c r="F30" i="8"/>
  <c r="E30" i="8"/>
  <c r="G29" i="8"/>
  <c r="F29" i="8"/>
  <c r="E29" i="8"/>
  <c r="G28" i="8"/>
  <c r="F28" i="8"/>
  <c r="E28" i="8"/>
  <c r="G27" i="8"/>
  <c r="F27" i="8"/>
  <c r="E27" i="8"/>
  <c r="G26" i="8"/>
  <c r="F26" i="8"/>
  <c r="E26" i="8"/>
  <c r="G25" i="8"/>
  <c r="F25" i="8"/>
  <c r="E25" i="8"/>
  <c r="G24" i="8"/>
  <c r="F24" i="8"/>
  <c r="E24" i="8"/>
  <c r="G23" i="8"/>
  <c r="F23" i="8"/>
  <c r="E23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F10" i="8"/>
  <c r="F5" i="8" s="1"/>
  <c r="E10" i="8"/>
  <c r="G9" i="8"/>
  <c r="F9" i="8"/>
  <c r="E9" i="8"/>
  <c r="G8" i="8"/>
  <c r="F8" i="8"/>
  <c r="E8" i="8"/>
  <c r="G7" i="8"/>
  <c r="G5" i="8" s="1"/>
  <c r="F7" i="8"/>
  <c r="E7" i="8"/>
  <c r="G6" i="8"/>
  <c r="F6" i="8"/>
  <c r="E6" i="8"/>
  <c r="E5" i="8" s="1"/>
  <c r="AA5" i="8"/>
  <c r="Z5" i="8"/>
  <c r="Y5" i="8"/>
  <c r="W5" i="8"/>
  <c r="V5" i="8"/>
  <c r="U5" i="8"/>
  <c r="R5" i="8"/>
  <c r="Q5" i="8"/>
  <c r="O5" i="8"/>
  <c r="N5" i="8"/>
  <c r="M5" i="8"/>
  <c r="K5" i="8"/>
  <c r="J5" i="8"/>
  <c r="I5" i="8"/>
  <c r="J25" i="7"/>
  <c r="I25" i="7"/>
  <c r="C25" i="7" s="1"/>
  <c r="F25" i="4" s="1"/>
  <c r="J24" i="7"/>
  <c r="I24" i="7"/>
  <c r="C24" i="7" s="1"/>
  <c r="F24" i="4" s="1"/>
  <c r="J23" i="7"/>
  <c r="J5" i="7" s="1"/>
  <c r="I23" i="7"/>
  <c r="J22" i="7"/>
  <c r="I22" i="7"/>
  <c r="C22" i="7" s="1"/>
  <c r="F22" i="4" s="1"/>
  <c r="J21" i="7"/>
  <c r="I21" i="7"/>
  <c r="C21" i="7"/>
  <c r="J20" i="7"/>
  <c r="I20" i="7"/>
  <c r="C20" i="7"/>
  <c r="F20" i="4" s="1"/>
  <c r="J19" i="7"/>
  <c r="C19" i="7" s="1"/>
  <c r="F19" i="4" s="1"/>
  <c r="I19" i="7"/>
  <c r="J18" i="7"/>
  <c r="I18" i="7"/>
  <c r="C18" i="7" s="1"/>
  <c r="F18" i="4" s="1"/>
  <c r="J17" i="7"/>
  <c r="I17" i="7"/>
  <c r="C17" i="7" s="1"/>
  <c r="F17" i="4" s="1"/>
  <c r="J16" i="7"/>
  <c r="C16" i="7"/>
  <c r="J15" i="7"/>
  <c r="C15" i="7"/>
  <c r="J14" i="7"/>
  <c r="C14" i="7"/>
  <c r="J13" i="7"/>
  <c r="I13" i="7"/>
  <c r="C13" i="7" s="1"/>
  <c r="F13" i="4" s="1"/>
  <c r="F7" i="4" s="1"/>
  <c r="J12" i="7"/>
  <c r="I12" i="7"/>
  <c r="C12" i="7"/>
  <c r="F12" i="4" s="1"/>
  <c r="J11" i="7"/>
  <c r="I11" i="7"/>
  <c r="C11" i="7"/>
  <c r="F11" i="4" s="1"/>
  <c r="J10" i="7"/>
  <c r="J7" i="7" s="1"/>
  <c r="I10" i="7"/>
  <c r="C10" i="7"/>
  <c r="J9" i="7"/>
  <c r="I9" i="7"/>
  <c r="I6" i="7" s="1"/>
  <c r="J8" i="7"/>
  <c r="I8" i="7"/>
  <c r="C8" i="7" s="1"/>
  <c r="F8" i="4" s="1"/>
  <c r="H7" i="7"/>
  <c r="G7" i="7"/>
  <c r="F7" i="7"/>
  <c r="E7" i="7"/>
  <c r="D7" i="7"/>
  <c r="J6" i="7"/>
  <c r="H6" i="7"/>
  <c r="G6" i="7"/>
  <c r="F6" i="7"/>
  <c r="E6" i="7"/>
  <c r="D6" i="7"/>
  <c r="C6" i="7" s="1"/>
  <c r="H5" i="7"/>
  <c r="G5" i="7"/>
  <c r="F5" i="7"/>
  <c r="E5" i="7"/>
  <c r="D5" i="7"/>
  <c r="D25" i="6"/>
  <c r="C25" i="6" s="1"/>
  <c r="E25" i="4" s="1"/>
  <c r="D24" i="6"/>
  <c r="C24" i="6"/>
  <c r="E24" i="4" s="1"/>
  <c r="D23" i="6"/>
  <c r="C23" i="6"/>
  <c r="D22" i="6"/>
  <c r="C22" i="6" s="1"/>
  <c r="E22" i="4" s="1"/>
  <c r="D21" i="6"/>
  <c r="C21" i="6" s="1"/>
  <c r="E21" i="4" s="1"/>
  <c r="D20" i="6"/>
  <c r="C20" i="6"/>
  <c r="D19" i="6"/>
  <c r="C19" i="6"/>
  <c r="D18" i="6"/>
  <c r="C18" i="6" s="1"/>
  <c r="E18" i="4" s="1"/>
  <c r="D17" i="6"/>
  <c r="C17" i="6" s="1"/>
  <c r="E17" i="4" s="1"/>
  <c r="D16" i="6"/>
  <c r="C16" i="6"/>
  <c r="E16" i="4" s="1"/>
  <c r="D15" i="6"/>
  <c r="C15" i="6"/>
  <c r="D14" i="6"/>
  <c r="C14" i="6" s="1"/>
  <c r="E14" i="4" s="1"/>
  <c r="D13" i="6"/>
  <c r="C13" i="6" s="1"/>
  <c r="E13" i="4" s="1"/>
  <c r="D12" i="6"/>
  <c r="C12" i="6"/>
  <c r="D11" i="6"/>
  <c r="C11" i="6"/>
  <c r="D10" i="6"/>
  <c r="C10" i="6" s="1"/>
  <c r="E10" i="4" s="1"/>
  <c r="D9" i="6"/>
  <c r="C9" i="6" s="1"/>
  <c r="E9" i="4" s="1"/>
  <c r="D8" i="6"/>
  <c r="C8" i="6"/>
  <c r="E8" i="4" s="1"/>
  <c r="E5" i="4" s="1"/>
  <c r="J7" i="6"/>
  <c r="I7" i="6"/>
  <c r="H7" i="6"/>
  <c r="G7" i="6"/>
  <c r="F7" i="6"/>
  <c r="E7" i="6"/>
  <c r="J6" i="6"/>
  <c r="I6" i="6"/>
  <c r="H6" i="6"/>
  <c r="G6" i="6"/>
  <c r="F6" i="6"/>
  <c r="E6" i="6"/>
  <c r="J5" i="6"/>
  <c r="I5" i="6"/>
  <c r="H5" i="6"/>
  <c r="G5" i="6"/>
  <c r="F5" i="6"/>
  <c r="E5" i="6"/>
  <c r="E25" i="5"/>
  <c r="D25" i="5"/>
  <c r="C25" i="5"/>
  <c r="D25" i="4" s="1"/>
  <c r="C25" i="4" s="1"/>
  <c r="E24" i="5"/>
  <c r="D24" i="5"/>
  <c r="C24" i="5" s="1"/>
  <c r="D24" i="4" s="1"/>
  <c r="E23" i="5"/>
  <c r="D23" i="5"/>
  <c r="C23" i="5" s="1"/>
  <c r="D23" i="4" s="1"/>
  <c r="G22" i="5"/>
  <c r="E22" i="5"/>
  <c r="C22" i="5" s="1"/>
  <c r="D22" i="4" s="1"/>
  <c r="D22" i="5"/>
  <c r="G21" i="5"/>
  <c r="E21" i="5"/>
  <c r="D21" i="5"/>
  <c r="C21" i="5" s="1"/>
  <c r="D21" i="4" s="1"/>
  <c r="C21" i="4" s="1"/>
  <c r="G20" i="5"/>
  <c r="E20" i="5"/>
  <c r="C20" i="5" s="1"/>
  <c r="D20" i="4" s="1"/>
  <c r="C20" i="4" s="1"/>
  <c r="D20" i="5"/>
  <c r="G19" i="5"/>
  <c r="F19" i="5"/>
  <c r="E19" i="5"/>
  <c r="E7" i="5" s="1"/>
  <c r="D19" i="5"/>
  <c r="C19" i="5" s="1"/>
  <c r="D19" i="4" s="1"/>
  <c r="C19" i="4" s="1"/>
  <c r="G18" i="5"/>
  <c r="G6" i="5" s="1"/>
  <c r="F18" i="5"/>
  <c r="E18" i="5"/>
  <c r="D18" i="5"/>
  <c r="C18" i="5" s="1"/>
  <c r="D18" i="4" s="1"/>
  <c r="G17" i="5"/>
  <c r="G5" i="5" s="1"/>
  <c r="F17" i="5"/>
  <c r="E17" i="5"/>
  <c r="D17" i="5"/>
  <c r="C17" i="5" s="1"/>
  <c r="D17" i="4" s="1"/>
  <c r="E16" i="5"/>
  <c r="D16" i="5"/>
  <c r="C16" i="5" s="1"/>
  <c r="D16" i="4" s="1"/>
  <c r="C16" i="4" s="1"/>
  <c r="E15" i="5"/>
  <c r="C15" i="5" s="1"/>
  <c r="D15" i="4" s="1"/>
  <c r="C15" i="4" s="1"/>
  <c r="D15" i="5"/>
  <c r="E14" i="5"/>
  <c r="C14" i="5" s="1"/>
  <c r="D14" i="4" s="1"/>
  <c r="D14" i="5"/>
  <c r="E13" i="5"/>
  <c r="D13" i="5"/>
  <c r="C13" i="5"/>
  <c r="D13" i="4" s="1"/>
  <c r="E12" i="5"/>
  <c r="D12" i="5"/>
  <c r="C12" i="5"/>
  <c r="D12" i="4" s="1"/>
  <c r="C12" i="4" s="1"/>
  <c r="E11" i="5"/>
  <c r="D11" i="5"/>
  <c r="C11" i="5" s="1"/>
  <c r="D11" i="4" s="1"/>
  <c r="G10" i="5"/>
  <c r="F10" i="5"/>
  <c r="F7" i="5" s="1"/>
  <c r="E10" i="5"/>
  <c r="D10" i="5"/>
  <c r="C10" i="5"/>
  <c r="D10" i="4" s="1"/>
  <c r="G9" i="5"/>
  <c r="F9" i="5"/>
  <c r="E9" i="5"/>
  <c r="E6" i="5" s="1"/>
  <c r="D9" i="5"/>
  <c r="C9" i="5"/>
  <c r="D9" i="4" s="1"/>
  <c r="G8" i="5"/>
  <c r="F8" i="5"/>
  <c r="E8" i="5"/>
  <c r="C8" i="5" s="1"/>
  <c r="D8" i="4" s="1"/>
  <c r="D8" i="5"/>
  <c r="L7" i="5"/>
  <c r="K7" i="5"/>
  <c r="J7" i="5"/>
  <c r="I7" i="5"/>
  <c r="H7" i="5"/>
  <c r="G7" i="5"/>
  <c r="D7" i="5"/>
  <c r="L6" i="5"/>
  <c r="K6" i="5"/>
  <c r="J6" i="5"/>
  <c r="I6" i="5"/>
  <c r="H6" i="5"/>
  <c r="F6" i="5"/>
  <c r="D6" i="5"/>
  <c r="C6" i="5" s="1"/>
  <c r="L5" i="5"/>
  <c r="K5" i="5"/>
  <c r="J5" i="5"/>
  <c r="I5" i="5"/>
  <c r="H5" i="5"/>
  <c r="F5" i="5"/>
  <c r="I25" i="4"/>
  <c r="H25" i="4"/>
  <c r="G25" i="4"/>
  <c r="I24" i="4"/>
  <c r="G24" i="4" s="1"/>
  <c r="H24" i="4"/>
  <c r="I23" i="4"/>
  <c r="H23" i="4"/>
  <c r="G23" i="4" s="1"/>
  <c r="E23" i="4"/>
  <c r="I22" i="4"/>
  <c r="H22" i="4"/>
  <c r="G22" i="4"/>
  <c r="I21" i="4"/>
  <c r="I6" i="4" s="1"/>
  <c r="H21" i="4"/>
  <c r="G21" i="4" s="1"/>
  <c r="F21" i="4"/>
  <c r="I20" i="4"/>
  <c r="H20" i="4"/>
  <c r="H5" i="4" s="1"/>
  <c r="G5" i="4" s="1"/>
  <c r="E20" i="4"/>
  <c r="I19" i="4"/>
  <c r="H19" i="4"/>
  <c r="G19" i="4"/>
  <c r="E19" i="4"/>
  <c r="I18" i="4"/>
  <c r="H18" i="4"/>
  <c r="G18" i="4" s="1"/>
  <c r="I17" i="4"/>
  <c r="H17" i="4"/>
  <c r="G17" i="4"/>
  <c r="I16" i="4"/>
  <c r="G16" i="4" s="1"/>
  <c r="F16" i="4"/>
  <c r="I15" i="4"/>
  <c r="G15" i="4"/>
  <c r="F15" i="4"/>
  <c r="E15" i="4"/>
  <c r="I14" i="4"/>
  <c r="G14" i="4"/>
  <c r="F14" i="4"/>
  <c r="I13" i="4"/>
  <c r="H13" i="4"/>
  <c r="G13" i="4" s="1"/>
  <c r="I12" i="4"/>
  <c r="H12" i="4"/>
  <c r="G12" i="4"/>
  <c r="E12" i="4"/>
  <c r="I11" i="4"/>
  <c r="G11" i="4" s="1"/>
  <c r="H11" i="4"/>
  <c r="E11" i="4"/>
  <c r="I10" i="4"/>
  <c r="I7" i="4" s="1"/>
  <c r="H10" i="4"/>
  <c r="G10" i="4" s="1"/>
  <c r="F10" i="4"/>
  <c r="I9" i="4"/>
  <c r="H9" i="4"/>
  <c r="H6" i="4" s="1"/>
  <c r="G6" i="4" s="1"/>
  <c r="G9" i="4"/>
  <c r="I8" i="4"/>
  <c r="I5" i="4" s="1"/>
  <c r="H8" i="4"/>
  <c r="I43" i="2"/>
  <c r="H43" i="2"/>
  <c r="G43" i="2"/>
  <c r="F43" i="2"/>
  <c r="E43" i="2"/>
  <c r="C43" i="2" s="1"/>
  <c r="D43" i="2"/>
  <c r="I42" i="2"/>
  <c r="G42" i="2" s="1"/>
  <c r="H42" i="2"/>
  <c r="F42" i="2"/>
  <c r="E42" i="2"/>
  <c r="D42" i="2"/>
  <c r="C42" i="2" s="1"/>
  <c r="I41" i="2"/>
  <c r="H41" i="2"/>
  <c r="G41" i="2" s="1"/>
  <c r="F41" i="2"/>
  <c r="E41" i="2"/>
  <c r="D41" i="2"/>
  <c r="C41" i="2"/>
  <c r="I40" i="2"/>
  <c r="H40" i="2"/>
  <c r="G40" i="2"/>
  <c r="F40" i="2"/>
  <c r="E40" i="2"/>
  <c r="D40" i="2"/>
  <c r="C40" i="2" s="1"/>
  <c r="I39" i="2"/>
  <c r="G39" i="2" s="1"/>
  <c r="H39" i="2"/>
  <c r="F39" i="2"/>
  <c r="C39" i="2" s="1"/>
  <c r="E39" i="2"/>
  <c r="D39" i="2"/>
  <c r="I38" i="2"/>
  <c r="H38" i="2"/>
  <c r="G38" i="2" s="1"/>
  <c r="F38" i="2"/>
  <c r="E38" i="2"/>
  <c r="C38" i="2" s="1"/>
  <c r="D38" i="2"/>
  <c r="I37" i="2"/>
  <c r="H37" i="2"/>
  <c r="G37" i="2"/>
  <c r="F37" i="2"/>
  <c r="E37" i="2"/>
  <c r="D37" i="2"/>
  <c r="C37" i="2" s="1"/>
  <c r="I36" i="2"/>
  <c r="H36" i="2"/>
  <c r="G36" i="2" s="1"/>
  <c r="F36" i="2"/>
  <c r="E36" i="2"/>
  <c r="D36" i="2"/>
  <c r="C36" i="2"/>
  <c r="I35" i="2"/>
  <c r="H35" i="2"/>
  <c r="G35" i="2"/>
  <c r="F35" i="2"/>
  <c r="E35" i="2"/>
  <c r="C35" i="2" s="1"/>
  <c r="D35" i="2"/>
  <c r="G34" i="2"/>
  <c r="F34" i="2"/>
  <c r="E34" i="2"/>
  <c r="D34" i="2"/>
  <c r="C34" i="2" s="1"/>
  <c r="G33" i="2"/>
  <c r="F33" i="2"/>
  <c r="E33" i="2"/>
  <c r="D33" i="2"/>
  <c r="C33" i="2" s="1"/>
  <c r="G32" i="2"/>
  <c r="F32" i="2"/>
  <c r="E32" i="2"/>
  <c r="D32" i="2"/>
  <c r="C32" i="2" s="1"/>
  <c r="G31" i="2"/>
  <c r="F31" i="2"/>
  <c r="C31" i="2" s="1"/>
  <c r="E31" i="2"/>
  <c r="D31" i="2"/>
  <c r="G30" i="2"/>
  <c r="F30" i="2"/>
  <c r="E30" i="2"/>
  <c r="D30" i="2"/>
  <c r="C30" i="2"/>
  <c r="G29" i="2"/>
  <c r="F29" i="2"/>
  <c r="E29" i="2"/>
  <c r="D29" i="2"/>
  <c r="C29" i="2"/>
  <c r="I28" i="2"/>
  <c r="H28" i="2"/>
  <c r="G28" i="2"/>
  <c r="F28" i="2"/>
  <c r="E28" i="2"/>
  <c r="D28" i="2"/>
  <c r="C28" i="2" s="1"/>
  <c r="I27" i="2"/>
  <c r="I6" i="2" s="1"/>
  <c r="I18" i="1" s="1"/>
  <c r="K18" i="1" s="1"/>
  <c r="H27" i="2"/>
  <c r="F27" i="2"/>
  <c r="F6" i="2" s="1"/>
  <c r="I12" i="1" s="1"/>
  <c r="K12" i="1" s="1"/>
  <c r="E27" i="2"/>
  <c r="D27" i="2"/>
  <c r="I26" i="2"/>
  <c r="H26" i="2"/>
  <c r="H5" i="2" s="1"/>
  <c r="F26" i="2"/>
  <c r="E26" i="2"/>
  <c r="C26" i="2" s="1"/>
  <c r="D26" i="2"/>
  <c r="I25" i="2"/>
  <c r="H25" i="2"/>
  <c r="G25" i="2"/>
  <c r="F25" i="2"/>
  <c r="E25" i="2"/>
  <c r="D25" i="2"/>
  <c r="C25" i="2" s="1"/>
  <c r="I24" i="2"/>
  <c r="H24" i="2"/>
  <c r="G24" i="2" s="1"/>
  <c r="F24" i="2"/>
  <c r="E24" i="2"/>
  <c r="D24" i="2"/>
  <c r="C24" i="2"/>
  <c r="I23" i="2"/>
  <c r="H23" i="2"/>
  <c r="G23" i="2"/>
  <c r="F23" i="2"/>
  <c r="E23" i="2"/>
  <c r="C23" i="2" s="1"/>
  <c r="D23" i="2"/>
  <c r="I22" i="2"/>
  <c r="G22" i="2" s="1"/>
  <c r="H22" i="2"/>
  <c r="F22" i="2"/>
  <c r="E22" i="2"/>
  <c r="D22" i="2"/>
  <c r="C22" i="2" s="1"/>
  <c r="I21" i="2"/>
  <c r="H21" i="2"/>
  <c r="G21" i="2" s="1"/>
  <c r="F21" i="2"/>
  <c r="E21" i="2"/>
  <c r="D21" i="2"/>
  <c r="C21" i="2"/>
  <c r="I20" i="2"/>
  <c r="H20" i="2"/>
  <c r="G20" i="2"/>
  <c r="F20" i="2"/>
  <c r="E20" i="2"/>
  <c r="D20" i="2"/>
  <c r="C20" i="2" s="1"/>
  <c r="I19" i="2"/>
  <c r="I7" i="2" s="1"/>
  <c r="H19" i="2"/>
  <c r="F19" i="2"/>
  <c r="C19" i="2" s="1"/>
  <c r="E19" i="2"/>
  <c r="D19" i="2"/>
  <c r="I18" i="2"/>
  <c r="H18" i="2"/>
  <c r="H6" i="2" s="1"/>
  <c r="F18" i="2"/>
  <c r="E18" i="2"/>
  <c r="C18" i="2" s="1"/>
  <c r="D18" i="2"/>
  <c r="I17" i="2"/>
  <c r="H17" i="2"/>
  <c r="G17" i="2"/>
  <c r="F17" i="2"/>
  <c r="E17" i="2"/>
  <c r="D17" i="2"/>
  <c r="C17" i="2" s="1"/>
  <c r="I16" i="2"/>
  <c r="H16" i="2"/>
  <c r="G16" i="2" s="1"/>
  <c r="F16" i="2"/>
  <c r="F7" i="2" s="1"/>
  <c r="J12" i="1" s="1"/>
  <c r="E16" i="2"/>
  <c r="D16" i="2"/>
  <c r="C16" i="2"/>
  <c r="I15" i="2"/>
  <c r="H15" i="2"/>
  <c r="G15" i="2"/>
  <c r="F15" i="2"/>
  <c r="E15" i="2"/>
  <c r="E6" i="2" s="1"/>
  <c r="I11" i="1" s="1"/>
  <c r="K11" i="1" s="1"/>
  <c r="D15" i="2"/>
  <c r="I14" i="2"/>
  <c r="I5" i="2" s="1"/>
  <c r="H18" i="1" s="1"/>
  <c r="H14" i="2"/>
  <c r="F14" i="2"/>
  <c r="E14" i="2"/>
  <c r="D14" i="2"/>
  <c r="C14" i="2" s="1"/>
  <c r="G13" i="2"/>
  <c r="C13" i="2"/>
  <c r="G12" i="2"/>
  <c r="C12" i="2"/>
  <c r="G11" i="2"/>
  <c r="C11" i="2"/>
  <c r="G10" i="2"/>
  <c r="C10" i="2"/>
  <c r="G9" i="2"/>
  <c r="C9" i="2"/>
  <c r="G8" i="2"/>
  <c r="C8" i="2"/>
  <c r="H7" i="2"/>
  <c r="D7" i="2"/>
  <c r="J10" i="1" s="1"/>
  <c r="F5" i="2"/>
  <c r="K20" i="1"/>
  <c r="K19" i="1"/>
  <c r="J16" i="1"/>
  <c r="G15" i="1"/>
  <c r="F15" i="1"/>
  <c r="E15" i="1"/>
  <c r="H12" i="1"/>
  <c r="G9" i="1"/>
  <c r="F9" i="1"/>
  <c r="E9" i="1"/>
  <c r="D6" i="4" l="1"/>
  <c r="C17" i="4"/>
  <c r="E6" i="4"/>
  <c r="C7" i="2"/>
  <c r="E7" i="4"/>
  <c r="C5" i="7"/>
  <c r="G7" i="2"/>
  <c r="J18" i="1"/>
  <c r="C14" i="4"/>
  <c r="C22" i="4"/>
  <c r="C5" i="2"/>
  <c r="C18" i="4"/>
  <c r="C7" i="7"/>
  <c r="C13" i="4"/>
  <c r="C24" i="4"/>
  <c r="J15" i="1"/>
  <c r="H16" i="1"/>
  <c r="H15" i="1" s="1"/>
  <c r="G5" i="2"/>
  <c r="C11" i="4"/>
  <c r="J9" i="1"/>
  <c r="G6" i="2"/>
  <c r="I16" i="1"/>
  <c r="C7" i="5"/>
  <c r="C8" i="4"/>
  <c r="D5" i="4"/>
  <c r="D7" i="4"/>
  <c r="C10" i="4"/>
  <c r="D6" i="2"/>
  <c r="I10" i="1" s="1"/>
  <c r="E7" i="2"/>
  <c r="J11" i="1" s="1"/>
  <c r="C15" i="2"/>
  <c r="C6" i="2" s="1"/>
  <c r="G19" i="2"/>
  <c r="G27" i="2"/>
  <c r="G8" i="4"/>
  <c r="D5" i="5"/>
  <c r="C5" i="5" s="1"/>
  <c r="C23" i="7"/>
  <c r="F23" i="4" s="1"/>
  <c r="C23" i="4" s="1"/>
  <c r="D5" i="2"/>
  <c r="H10" i="1" s="1"/>
  <c r="H9" i="1" s="1"/>
  <c r="G18" i="2"/>
  <c r="G26" i="2"/>
  <c r="G20" i="4"/>
  <c r="E5" i="5"/>
  <c r="C9" i="7"/>
  <c r="F9" i="4" s="1"/>
  <c r="F6" i="4" s="1"/>
  <c r="E5" i="2"/>
  <c r="H11" i="1" s="1"/>
  <c r="D5" i="6"/>
  <c r="C5" i="6" s="1"/>
  <c r="D6" i="6"/>
  <c r="C6" i="6" s="1"/>
  <c r="D7" i="6"/>
  <c r="C7" i="6" s="1"/>
  <c r="C27" i="2"/>
  <c r="I5" i="7"/>
  <c r="I7" i="7"/>
  <c r="G14" i="2"/>
  <c r="H7" i="4"/>
  <c r="G7" i="4" s="1"/>
  <c r="C7" i="4" l="1"/>
  <c r="K10" i="1"/>
  <c r="I9" i="1"/>
  <c r="K9" i="1" s="1"/>
  <c r="F5" i="4"/>
  <c r="C5" i="4" s="1"/>
  <c r="C6" i="4"/>
  <c r="I15" i="1"/>
  <c r="K15" i="1" s="1"/>
  <c r="K16" i="1"/>
  <c r="C9" i="4"/>
</calcChain>
</file>

<file path=xl/sharedStrings.xml><?xml version="1.0" encoding="utf-8"?>
<sst xmlns="http://schemas.openxmlformats.org/spreadsheetml/2006/main" count="1072" uniqueCount="245">
  <si>
    <t>7월</t>
  </si>
  <si>
    <t xml:space="preserve">비고
</t>
  </si>
  <si>
    <t>안과</t>
  </si>
  <si>
    <t>무안군</t>
  </si>
  <si>
    <t>고사도</t>
  </si>
  <si>
    <t>진 도</t>
  </si>
  <si>
    <t>총누계</t>
  </si>
  <si>
    <t>3차</t>
  </si>
  <si>
    <t>해남군</t>
  </si>
  <si>
    <t>외병도</t>
  </si>
  <si>
    <t>압해면</t>
  </si>
  <si>
    <t>탄도</t>
  </si>
  <si>
    <t>중태도</t>
  </si>
  <si>
    <t>신 안</t>
  </si>
  <si>
    <t>상태도</t>
  </si>
  <si>
    <t>혈도</t>
  </si>
  <si>
    <t>상마도</t>
  </si>
  <si>
    <t>8월</t>
  </si>
  <si>
    <t>지도읍</t>
  </si>
  <si>
    <t>갈목도</t>
  </si>
  <si>
    <t>대둔도</t>
  </si>
  <si>
    <t>기도</t>
  </si>
  <si>
    <t>장도</t>
  </si>
  <si>
    <t>막금도</t>
  </si>
  <si>
    <t>10월</t>
  </si>
  <si>
    <t>탄항도</t>
  </si>
  <si>
    <t>진료일</t>
  </si>
  <si>
    <t>주지도</t>
  </si>
  <si>
    <t>이상자</t>
  </si>
  <si>
    <t>목 포</t>
  </si>
  <si>
    <t>조도면</t>
  </si>
  <si>
    <t>진목도</t>
  </si>
  <si>
    <t>백야도</t>
  </si>
  <si>
    <t>소악도</t>
  </si>
  <si>
    <t>다물도</t>
  </si>
  <si>
    <t>평사도</t>
  </si>
  <si>
    <t>3월</t>
  </si>
  <si>
    <t>계</t>
  </si>
  <si>
    <t>6월</t>
  </si>
  <si>
    <t>시하도</t>
  </si>
  <si>
    <t>신경과</t>
  </si>
  <si>
    <t>X-선</t>
  </si>
  <si>
    <t>임회면</t>
  </si>
  <si>
    <t>5월</t>
  </si>
  <si>
    <t>도서면</t>
  </si>
  <si>
    <t>중마도</t>
  </si>
  <si>
    <t>4차</t>
  </si>
  <si>
    <t>하의면</t>
  </si>
  <si>
    <t>대야도</t>
  </si>
  <si>
    <t>망운면</t>
  </si>
  <si>
    <t>증도면</t>
  </si>
  <si>
    <t>진도읍</t>
  </si>
  <si>
    <t>비금면</t>
  </si>
  <si>
    <t>송도</t>
  </si>
  <si>
    <t>우이도</t>
  </si>
  <si>
    <t>영 광</t>
  </si>
  <si>
    <t>5차</t>
  </si>
  <si>
    <t>신안</t>
  </si>
  <si>
    <t>눌욱도</t>
  </si>
  <si>
    <t>화원면</t>
  </si>
  <si>
    <t>광대도</t>
  </si>
  <si>
    <r>
      <rPr>
        <sz val="10"/>
        <color rgb="FF000000"/>
        <rFont val="돋움"/>
        <family val="3"/>
        <charset val="129"/>
      </rPr>
      <t>신</t>
    </r>
    <r>
      <rPr>
        <sz val="10"/>
        <color rgb="FF000000"/>
        <rFont val="Arial"/>
      </rPr>
      <t xml:space="preserve"> </t>
    </r>
    <r>
      <rPr>
        <sz val="10"/>
        <color rgb="FF000000"/>
        <rFont val="돋움"/>
        <family val="3"/>
        <charset val="129"/>
      </rPr>
      <t>안</t>
    </r>
  </si>
  <si>
    <t>독거도</t>
  </si>
  <si>
    <t>당사도</t>
  </si>
  <si>
    <t>마진도</t>
  </si>
  <si>
    <t>진도</t>
  </si>
  <si>
    <t>9월</t>
  </si>
  <si>
    <t>초란도</t>
  </si>
  <si>
    <t>모도</t>
  </si>
  <si>
    <t>죽항도</t>
  </si>
  <si>
    <t>연인원</t>
  </si>
  <si>
    <t>진도군</t>
  </si>
  <si>
    <t>구분</t>
  </si>
  <si>
    <t>시군</t>
  </si>
  <si>
    <t>청등도</t>
  </si>
  <si>
    <t>안마도</t>
  </si>
  <si>
    <t>마산도</t>
  </si>
  <si>
    <t>황마도</t>
  </si>
  <si>
    <t>반월도</t>
  </si>
  <si>
    <t>목포시</t>
  </si>
  <si>
    <t>소마도</t>
  </si>
  <si>
    <t>자라도</t>
  </si>
  <si>
    <t>저도</t>
  </si>
  <si>
    <t>기타</t>
  </si>
  <si>
    <t>신안군</t>
  </si>
  <si>
    <t>12월</t>
  </si>
  <si>
    <t>문병도</t>
  </si>
  <si>
    <t>월별</t>
  </si>
  <si>
    <t>의과</t>
  </si>
  <si>
    <t>도초면</t>
  </si>
  <si>
    <t>병풍도</t>
  </si>
  <si>
    <t>1. 진료기간 : 2021 . 12 . 21 ~ 12 . 24 (1 주간)</t>
  </si>
  <si>
    <t>장산면</t>
  </si>
  <si>
    <t xml:space="preserve"> </t>
  </si>
  <si>
    <t>누계</t>
  </si>
  <si>
    <t>해 남</t>
  </si>
  <si>
    <t>선도</t>
  </si>
  <si>
    <t>신의면</t>
  </si>
  <si>
    <t>관사도</t>
  </si>
  <si>
    <t>소아과</t>
  </si>
  <si>
    <t>나배도</t>
  </si>
  <si>
    <t>요력도</t>
  </si>
  <si>
    <t>화산면</t>
  </si>
  <si>
    <t>4월</t>
  </si>
  <si>
    <t>암태면</t>
  </si>
  <si>
    <t>내병도</t>
  </si>
  <si>
    <t>2차</t>
  </si>
  <si>
    <t>영광군</t>
  </si>
  <si>
    <t>도서명</t>
  </si>
  <si>
    <t>한방</t>
  </si>
  <si>
    <t>1월</t>
  </si>
  <si>
    <t>안좌면</t>
  </si>
  <si>
    <t>가사도</t>
  </si>
  <si>
    <t>하마도</t>
  </si>
  <si>
    <t>장병도</t>
  </si>
  <si>
    <t>옥도</t>
  </si>
  <si>
    <t>무 안</t>
  </si>
  <si>
    <t>슬도</t>
  </si>
  <si>
    <t>대마도</t>
  </si>
  <si>
    <t>흑산면</t>
  </si>
  <si>
    <t>소계</t>
  </si>
  <si>
    <t>부소도</t>
  </si>
  <si>
    <t>1차</t>
  </si>
  <si>
    <t>임자면</t>
  </si>
  <si>
    <t>율도</t>
  </si>
  <si>
    <t>지산면</t>
  </si>
  <si>
    <t>장재도</t>
  </si>
  <si>
    <t xml:space="preserve">  </t>
  </si>
  <si>
    <t>실인원</t>
  </si>
  <si>
    <t>비고</t>
  </si>
  <si>
    <t>유달동</t>
  </si>
  <si>
    <t>우도</t>
  </si>
  <si>
    <t>수도</t>
  </si>
  <si>
    <t>죽도</t>
  </si>
  <si>
    <t>횟수</t>
  </si>
  <si>
    <t>곽도</t>
  </si>
  <si>
    <t>맹골도</t>
  </si>
  <si>
    <t>양덕도</t>
  </si>
  <si>
    <t>효지도</t>
  </si>
  <si>
    <t>개도</t>
  </si>
  <si>
    <t>장좌도</t>
  </si>
  <si>
    <t>가란도</t>
  </si>
  <si>
    <t>11월</t>
  </si>
  <si>
    <t>수치도</t>
  </si>
  <si>
    <t>횡도</t>
  </si>
  <si>
    <t>신도</t>
  </si>
  <si>
    <t>사치도</t>
  </si>
  <si>
    <t>치과</t>
  </si>
  <si>
    <t>외달도</t>
  </si>
  <si>
    <t>2월</t>
  </si>
  <si>
    <t>각이도</t>
  </si>
  <si>
    <t>읍면</t>
  </si>
  <si>
    <t>낙월면</t>
  </si>
  <si>
    <r>
      <t>X-</t>
    </r>
    <r>
      <rPr>
        <sz val="11"/>
        <color rgb="FF000000"/>
        <rFont val="돋움"/>
        <family val="3"/>
        <charset val="129"/>
      </rPr>
      <t>선</t>
    </r>
  </si>
  <si>
    <t>무의도서별 (한방과) 진료실적</t>
  </si>
  <si>
    <t>무의도서별 진료실적(임상병리)</t>
  </si>
  <si>
    <t>무의도서별 (방사선) 진료실적</t>
  </si>
  <si>
    <t>무의도서별 (임상병리) 진료실적</t>
  </si>
  <si>
    <t>무의도서별 진료실적(의과)</t>
  </si>
  <si>
    <t>한     방
신경정신과</t>
  </si>
  <si>
    <t>이 동 형 
X-선촬영</t>
  </si>
  <si>
    <t>질  환  별    분  류</t>
  </si>
  <si>
    <t>무의도서별 진료실적(방사선)</t>
  </si>
  <si>
    <t>무의도서별 (치과) 진료실적</t>
  </si>
  <si>
    <t>무의도서별 진료실적(한방과)</t>
  </si>
  <si>
    <t>무의도서별 진료실적(치과)</t>
  </si>
  <si>
    <t>2. 시군별 진료 실적</t>
  </si>
  <si>
    <t>무의도서별 (의과) 진료실적</t>
  </si>
  <si>
    <t>한     방 
이비인후</t>
  </si>
  <si>
    <r>
      <t>기</t>
    </r>
    <r>
      <rPr>
        <sz val="11"/>
        <color rgb="FF000000"/>
        <rFont val="돋움"/>
        <family val="3"/>
        <charset val="129"/>
      </rPr>
      <t xml:space="preserve">    타
(약물치료)</t>
    </r>
  </si>
  <si>
    <t>기
타
검
사</t>
  </si>
  <si>
    <t>목 표
대 비
(%)</t>
  </si>
  <si>
    <t>투약일수(이상자)</t>
  </si>
  <si>
    <t>투약일수
(이상자)</t>
  </si>
  <si>
    <t>금       회</t>
  </si>
  <si>
    <t>한  방
소아과</t>
  </si>
  <si>
    <t>한  방
침구과</t>
  </si>
  <si>
    <t xml:space="preserve">투약일수
(이상자)
</t>
  </si>
  <si>
    <t>(단위 :  명)</t>
  </si>
  <si>
    <t>누       계</t>
  </si>
  <si>
    <t>한   방
부인과</t>
  </si>
  <si>
    <t>보건진료소 진료실적</t>
  </si>
  <si>
    <t>소아우식
예방치료</t>
  </si>
  <si>
    <t>흑산면
(년3회)</t>
  </si>
  <si>
    <t>누계(15개소)</t>
  </si>
  <si>
    <t>1. 월별 진료 실적</t>
  </si>
  <si>
    <t>구      분</t>
  </si>
  <si>
    <t>진
료
과
목</t>
  </si>
  <si>
    <t>구  강
교  육</t>
  </si>
  <si>
    <t>한  방
내  과</t>
  </si>
  <si>
    <r>
      <t>과 민</t>
    </r>
    <r>
      <rPr>
        <sz val="11"/>
        <color rgb="FF000000"/>
        <rFont val="돋움"/>
        <family val="3"/>
        <charset val="129"/>
      </rPr>
      <t xml:space="preserve"> 성
치아치료</t>
    </r>
  </si>
  <si>
    <t>병원선 전남512호 진료실적 보고(12월 4차)</t>
  </si>
  <si>
    <t>일반
내과</t>
  </si>
  <si>
    <t xml:space="preserve">비 고 </t>
  </si>
  <si>
    <t>가사혈도</t>
  </si>
  <si>
    <t>율도1구</t>
  </si>
  <si>
    <t>대기점도</t>
  </si>
  <si>
    <t>대성남도</t>
  </si>
  <si>
    <t>투약일수</t>
  </si>
  <si>
    <t>총    계</t>
  </si>
  <si>
    <t>투약
일수</t>
  </si>
  <si>
    <t>서소우이도</t>
  </si>
  <si>
    <t>이비인
후과</t>
  </si>
  <si>
    <t>한   방</t>
  </si>
  <si>
    <t>상하죽도</t>
  </si>
  <si>
    <t>산부
인과</t>
  </si>
  <si>
    <t>3. 진료실적</t>
  </si>
  <si>
    <t>소기점도</t>
  </si>
  <si>
    <t>율도2구</t>
  </si>
  <si>
    <t>총     계</t>
  </si>
  <si>
    <t>보존
치료</t>
  </si>
  <si>
    <t>방
사
선</t>
  </si>
  <si>
    <t>소성남도</t>
  </si>
  <si>
    <t>달리1구</t>
  </si>
  <si>
    <t>동소우이도</t>
  </si>
  <si>
    <t>달리2구</t>
  </si>
  <si>
    <t>대포작도</t>
  </si>
  <si>
    <t>진  료</t>
  </si>
  <si>
    <t>일반
외과</t>
  </si>
  <si>
    <t>기  타</t>
  </si>
  <si>
    <t>치주
치료</t>
  </si>
  <si>
    <t>소각시도</t>
  </si>
  <si>
    <t xml:space="preserve">질환별 분류 </t>
  </si>
  <si>
    <t>2) 한방진료</t>
  </si>
  <si>
    <t>질환별 분류</t>
  </si>
  <si>
    <t>1) 의과진료</t>
  </si>
  <si>
    <t>진료목표</t>
  </si>
  <si>
    <t>진료과목별</t>
  </si>
  <si>
    <t>피부
비뇨</t>
  </si>
  <si>
    <t>임상병리</t>
  </si>
  <si>
    <t>각종검사</t>
  </si>
  <si>
    <t>대석만도</t>
  </si>
  <si>
    <t>기타검사</t>
  </si>
  <si>
    <t>의   과</t>
  </si>
  <si>
    <t>3) 치과진료</t>
  </si>
  <si>
    <t>심 전 도</t>
  </si>
  <si>
    <t>X-선촬영</t>
  </si>
  <si>
    <t>치
과</t>
  </si>
  <si>
    <t>상수치도</t>
  </si>
  <si>
    <t>초 음 파</t>
  </si>
  <si>
    <r>
      <t xml:space="preserve">구 </t>
    </r>
    <r>
      <rPr>
        <sz val="11"/>
        <color rgb="FF000000"/>
        <rFont val="돋움"/>
        <family val="3"/>
        <charset val="129"/>
      </rPr>
      <t xml:space="preserve">   분</t>
    </r>
  </si>
  <si>
    <r>
      <t xml:space="preserve">구 </t>
    </r>
    <r>
      <rPr>
        <sz val="11"/>
        <color rgb="FF000000"/>
        <rFont val="돋움"/>
        <family val="3"/>
        <charset val="129"/>
      </rPr>
      <t xml:space="preserve"> 분</t>
    </r>
  </si>
  <si>
    <r>
      <t xml:space="preserve">발 </t>
    </r>
    <r>
      <rPr>
        <sz val="11"/>
        <color rgb="FF000000"/>
        <rFont val="돋움"/>
        <family val="3"/>
        <charset val="129"/>
      </rPr>
      <t xml:space="preserve"> 치</t>
    </r>
  </si>
  <si>
    <r>
      <t xml:space="preserve">구 </t>
    </r>
    <r>
      <rPr>
        <sz val="11"/>
        <color rgb="FF000000"/>
        <rFont val="돋움"/>
        <family val="3"/>
        <charset val="129"/>
      </rPr>
      <t xml:space="preserve">  분</t>
    </r>
  </si>
  <si>
    <t>2. 진료도서 및 인구수 :  신안군 비금면 상수치도 외 4개 도서, 인구 수 321명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</si>
</sst>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m&quot;/&quot;d;@"/>
    <numFmt numFmtId="178" formatCode="0_);[Red]\(0\)"/>
  </numFmts>
  <fonts count="24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b/>
      <sz val="20"/>
      <color rgb="FF000000"/>
      <name val="바탕체"/>
      <family val="1"/>
      <charset val="129"/>
    </font>
    <font>
      <b/>
      <sz val="16"/>
      <color rgb="FF000000"/>
      <name val="바탕체"/>
      <family val="1"/>
      <charset val="129"/>
    </font>
    <font>
      <sz val="9"/>
      <color rgb="FF000000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color rgb="FF000000"/>
      <name val="돋움"/>
      <family val="3"/>
      <charset val="129"/>
    </font>
    <font>
      <sz val="20"/>
      <color rgb="FF000000"/>
      <name val="돋움"/>
      <family val="3"/>
      <charset val="129"/>
    </font>
    <font>
      <b/>
      <u/>
      <sz val="20"/>
      <color rgb="FF000000"/>
      <name val="바탕체"/>
      <family val="1"/>
      <charset val="129"/>
    </font>
    <font>
      <sz val="11"/>
      <color rgb="FFFF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Arial"/>
    </font>
    <font>
      <sz val="8"/>
      <color rgb="FF000000"/>
      <name val="돋움"/>
      <family val="3"/>
      <charset val="129"/>
    </font>
    <font>
      <sz val="12"/>
      <color rgb="FF000000"/>
      <name val="푸른전남"/>
      <family val="3"/>
      <charset val="129"/>
    </font>
    <font>
      <b/>
      <sz val="12"/>
      <color rgb="FF000000"/>
      <name val="푸른전남"/>
      <family val="3"/>
      <charset val="129"/>
    </font>
    <font>
      <sz val="14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b/>
      <sz val="20"/>
      <color rgb="FF000000"/>
      <name val="HY헤드라인M"/>
      <family val="1"/>
      <charset val="129"/>
    </font>
    <font>
      <sz val="11"/>
      <color rgb="FF000000"/>
      <name val="굴림"/>
      <family val="3"/>
      <charset val="129"/>
    </font>
    <font>
      <b/>
      <sz val="14"/>
      <color rgb="FF000000"/>
      <name val="돋움"/>
      <family val="3"/>
      <charset val="129"/>
    </font>
    <font>
      <sz val="10"/>
      <color rgb="FF000000"/>
      <name val="Arial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1" fontId="22" fillId="0" borderId="0"/>
    <xf numFmtId="41" fontId="22" fillId="0" borderId="0"/>
    <xf numFmtId="9" fontId="22" fillId="0" borderId="0"/>
    <xf numFmtId="0" fontId="2" fillId="2" borderId="0">
      <alignment vertical="center"/>
    </xf>
  </cellStyleXfs>
  <cellXfs count="398">
    <xf numFmtId="0" fontId="0" fillId="0" borderId="0" xfId="0" applyNumberFormat="1"/>
    <xf numFmtId="41" fontId="3" fillId="0" borderId="0" xfId="1" applyNumberFormat="1" applyFont="1"/>
    <xf numFmtId="41" fontId="22" fillId="0" borderId="0" xfId="1" applyNumberFormat="1"/>
    <xf numFmtId="41" fontId="4" fillId="0" borderId="0" xfId="1" applyNumberFormat="1" applyFont="1"/>
    <xf numFmtId="0" fontId="0" fillId="0" borderId="0" xfId="0" applyNumberFormat="1" applyAlignment="1"/>
    <xf numFmtId="41" fontId="4" fillId="0" borderId="0" xfId="1" applyNumberFormat="1" applyFont="1" applyAlignment="1">
      <alignment vertical="top"/>
    </xf>
    <xf numFmtId="0" fontId="0" fillId="0" borderId="0" xfId="0" applyNumberFormat="1" applyAlignment="1">
      <alignment vertical="top"/>
    </xf>
    <xf numFmtId="41" fontId="0" fillId="0" borderId="0" xfId="1" applyNumberFormat="1" applyFont="1"/>
    <xf numFmtId="41" fontId="5" fillId="0" borderId="0" xfId="1" applyNumberFormat="1" applyFont="1"/>
    <xf numFmtId="41" fontId="0" fillId="0" borderId="0" xfId="0" applyNumberFormat="1"/>
    <xf numFmtId="41" fontId="0" fillId="0" borderId="0" xfId="1" applyNumberFormat="1" applyFont="1" applyAlignment="1">
      <alignment horizontal="center" vertical="center"/>
    </xf>
    <xf numFmtId="41" fontId="22" fillId="0" borderId="0" xfId="1" applyNumberFormat="1" applyAlignment="1">
      <alignment vertical="center"/>
    </xf>
    <xf numFmtId="41" fontId="6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center" vertical="center"/>
    </xf>
    <xf numFmtId="0" fontId="7" fillId="0" borderId="0" xfId="0" applyNumberFormat="1" applyFont="1"/>
    <xf numFmtId="41" fontId="0" fillId="0" borderId="0" xfId="1" applyNumberFormat="1" applyFont="1"/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41" fontId="10" fillId="0" borderId="0" xfId="1" applyNumberFormat="1" applyFont="1"/>
    <xf numFmtId="41" fontId="11" fillId="0" borderId="1" xfId="1" applyNumberFormat="1" applyFont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center" vertical="center"/>
    </xf>
    <xf numFmtId="41" fontId="11" fillId="3" borderId="1" xfId="1" applyNumberFormat="1" applyFont="1" applyFill="1" applyBorder="1" applyAlignment="1">
      <alignment horizontal="center" vertical="center"/>
    </xf>
    <xf numFmtId="41" fontId="11" fillId="0" borderId="2" xfId="1" applyNumberFormat="1" applyFont="1" applyBorder="1" applyAlignment="1">
      <alignment horizontal="center" vertical="center"/>
    </xf>
    <xf numFmtId="41" fontId="11" fillId="0" borderId="1" xfId="1" applyNumberFormat="1" applyFont="1" applyBorder="1" applyAlignment="1">
      <alignment horizontal="center" vertical="center" wrapText="1"/>
    </xf>
    <xf numFmtId="178" fontId="11" fillId="0" borderId="1" xfId="1" applyNumberFormat="1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center" vertical="center" shrinkToFit="1"/>
    </xf>
    <xf numFmtId="41" fontId="11" fillId="0" borderId="3" xfId="1" applyNumberFormat="1" applyFont="1" applyBorder="1" applyAlignment="1">
      <alignment horizontal="center" vertical="center" shrinkToFit="1"/>
    </xf>
    <xf numFmtId="41" fontId="11" fillId="0" borderId="3" xfId="1" applyNumberFormat="1" applyFont="1" applyBorder="1" applyAlignment="1">
      <alignment horizontal="center" vertical="center"/>
    </xf>
    <xf numFmtId="41" fontId="11" fillId="0" borderId="4" xfId="1" applyNumberFormat="1" applyFont="1" applyBorder="1" applyAlignment="1">
      <alignment horizontal="center" vertical="center"/>
    </xf>
    <xf numFmtId="41" fontId="11" fillId="0" borderId="1" xfId="1" applyNumberFormat="1" applyFont="1" applyBorder="1"/>
    <xf numFmtId="41" fontId="11" fillId="0" borderId="2" xfId="1" applyNumberFormat="1" applyFont="1" applyBorder="1"/>
    <xf numFmtId="41" fontId="11" fillId="0" borderId="3" xfId="1" applyNumberFormat="1" applyFont="1" applyBorder="1" applyAlignment="1">
      <alignment horizontal="center" vertical="center" wrapText="1"/>
    </xf>
    <xf numFmtId="41" fontId="11" fillId="0" borderId="1" xfId="1" applyNumberFormat="1" applyFont="1" applyBorder="1" applyAlignment="1">
      <alignment vertical="center"/>
    </xf>
    <xf numFmtId="41" fontId="11" fillId="0" borderId="1" xfId="1" applyNumberFormat="1" applyFont="1" applyBorder="1" applyAlignment="1">
      <alignment horizontal="center" vertical="center" wrapText="1" shrinkToFit="1"/>
    </xf>
    <xf numFmtId="41" fontId="11" fillId="0" borderId="1" xfId="0" applyNumberFormat="1" applyFont="1" applyBorder="1" applyAlignment="1">
      <alignment horizontal="center" vertical="center"/>
    </xf>
    <xf numFmtId="41" fontId="11" fillId="0" borderId="1" xfId="2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178" fontId="11" fillId="0" borderId="1" xfId="2" applyNumberFormat="1" applyFont="1" applyBorder="1" applyAlignment="1">
      <alignment horizontal="right" vertical="center"/>
    </xf>
    <xf numFmtId="41" fontId="11" fillId="0" borderId="3" xfId="1" applyNumberFormat="1" applyFont="1" applyBorder="1" applyAlignment="1">
      <alignment horizontal="center" vertical="center" wrapText="1" shrinkToFit="1"/>
    </xf>
    <xf numFmtId="41" fontId="11" fillId="0" borderId="3" xfId="0" applyNumberFormat="1" applyFont="1" applyBorder="1" applyAlignment="1">
      <alignment horizontal="center" vertical="center"/>
    </xf>
    <xf numFmtId="41" fontId="11" fillId="0" borderId="3" xfId="2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41" fontId="12" fillId="0" borderId="5" xfId="1" applyNumberFormat="1" applyFont="1" applyBorder="1" applyAlignment="1">
      <alignment horizontal="center" vertical="center"/>
    </xf>
    <xf numFmtId="41" fontId="11" fillId="0" borderId="6" xfId="1" applyNumberFormat="1" applyFont="1" applyBorder="1" applyAlignment="1">
      <alignment horizontal="center" vertical="center"/>
    </xf>
    <xf numFmtId="41" fontId="11" fillId="0" borderId="6" xfId="1" applyNumberFormat="1" applyFont="1" applyBorder="1" applyAlignment="1">
      <alignment vertical="center"/>
    </xf>
    <xf numFmtId="41" fontId="11" fillId="0" borderId="7" xfId="1" applyNumberFormat="1" applyFont="1" applyBorder="1" applyAlignment="1">
      <alignment horizontal="center" vertical="center"/>
    </xf>
    <xf numFmtId="41" fontId="11" fillId="0" borderId="3" xfId="1" applyNumberFormat="1" applyFont="1" applyBorder="1"/>
    <xf numFmtId="41" fontId="11" fillId="0" borderId="4" xfId="1" applyNumberFormat="1" applyFont="1" applyBorder="1"/>
    <xf numFmtId="41" fontId="0" fillId="0" borderId="5" xfId="1" applyNumberFormat="1" applyFont="1" applyBorder="1" applyAlignment="1">
      <alignment horizontal="center" vertical="center" wrapText="1"/>
    </xf>
    <xf numFmtId="41" fontId="11" fillId="0" borderId="5" xfId="1" applyNumberFormat="1" applyFont="1" applyBorder="1" applyAlignment="1">
      <alignment horizontal="center" vertical="center" wrapText="1"/>
    </xf>
    <xf numFmtId="41" fontId="0" fillId="0" borderId="5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 wrapText="1"/>
    </xf>
    <xf numFmtId="41" fontId="11" fillId="3" borderId="6" xfId="1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1" fontId="13" fillId="0" borderId="3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center" vertical="center"/>
    </xf>
    <xf numFmtId="41" fontId="13" fillId="0" borderId="3" xfId="0" applyNumberFormat="1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4" xfId="0" applyNumberFormat="1" applyFont="1" applyBorder="1" applyAlignment="1">
      <alignment horizontal="center" vertical="center" shrinkToFit="1"/>
    </xf>
    <xf numFmtId="41" fontId="0" fillId="0" borderId="8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 wrapText="1"/>
    </xf>
    <xf numFmtId="41" fontId="11" fillId="0" borderId="6" xfId="1" applyNumberFormat="1" applyFont="1" applyFill="1" applyBorder="1" applyAlignment="1">
      <alignment horizontal="center" vertical="center"/>
    </xf>
    <xf numFmtId="41" fontId="11" fillId="0" borderId="5" xfId="1" applyNumberFormat="1" applyFont="1" applyBorder="1" applyAlignment="1">
      <alignment horizontal="center" vertical="center"/>
    </xf>
    <xf numFmtId="41" fontId="11" fillId="0" borderId="5" xfId="1" applyNumberFormat="1" applyFont="1" applyFill="1" applyBorder="1" applyAlignment="1">
      <alignment horizontal="center" vertical="center"/>
    </xf>
    <xf numFmtId="41" fontId="11" fillId="3" borderId="5" xfId="1" applyNumberFormat="1" applyFont="1" applyFill="1" applyBorder="1" applyAlignment="1">
      <alignment horizontal="center" vertical="center"/>
    </xf>
    <xf numFmtId="178" fontId="11" fillId="0" borderId="5" xfId="1" applyNumberFormat="1" applyFont="1" applyBorder="1" applyAlignment="1">
      <alignment vertical="center"/>
    </xf>
    <xf numFmtId="178" fontId="11" fillId="0" borderId="5" xfId="1" applyNumberFormat="1" applyFont="1" applyBorder="1" applyAlignment="1">
      <alignment horizontal="right" vertical="center"/>
    </xf>
    <xf numFmtId="41" fontId="11" fillId="0" borderId="8" xfId="1" applyNumberFormat="1" applyFont="1" applyBorder="1" applyAlignment="1">
      <alignment vertical="center"/>
    </xf>
    <xf numFmtId="41" fontId="11" fillId="0" borderId="9" xfId="1" applyNumberFormat="1" applyFont="1" applyBorder="1" applyAlignment="1">
      <alignment horizontal="center" vertical="center"/>
    </xf>
    <xf numFmtId="41" fontId="11" fillId="0" borderId="10" xfId="1" applyNumberFormat="1" applyFont="1" applyBorder="1" applyAlignment="1">
      <alignment horizontal="center" vertical="center"/>
    </xf>
    <xf numFmtId="41" fontId="11" fillId="0" borderId="5" xfId="1" applyNumberFormat="1" applyFont="1" applyBorder="1" applyAlignment="1">
      <alignment horizontal="center" vertical="center" wrapText="1" shrinkToFit="1"/>
    </xf>
    <xf numFmtId="41" fontId="11" fillId="0" borderId="8" xfId="1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41" fontId="11" fillId="0" borderId="9" xfId="2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horizontal="right" vertical="center" shrinkToFit="1"/>
    </xf>
    <xf numFmtId="177" fontId="13" fillId="0" borderId="9" xfId="0" applyNumberFormat="1" applyFont="1" applyBorder="1" applyAlignment="1">
      <alignment horizontal="center" vertical="center"/>
    </xf>
    <xf numFmtId="41" fontId="13" fillId="0" borderId="9" xfId="0" applyNumberFormat="1" applyFont="1" applyBorder="1" applyAlignment="1">
      <alignment horizontal="center" vertical="center"/>
    </xf>
    <xf numFmtId="41" fontId="13" fillId="0" borderId="1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177" fontId="5" fillId="0" borderId="9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 shrinkToFit="1"/>
    </xf>
    <xf numFmtId="41" fontId="5" fillId="0" borderId="1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41" fontId="15" fillId="0" borderId="1" xfId="1" applyNumberFormat="1" applyFont="1" applyBorder="1" applyAlignment="1">
      <alignment vertical="center" shrinkToFit="1"/>
    </xf>
    <xf numFmtId="41" fontId="14" fillId="0" borderId="1" xfId="1" applyNumberFormat="1" applyFont="1" applyBorder="1" applyAlignment="1">
      <alignment horizontal="center" vertical="center" shrinkToFit="1"/>
    </xf>
    <xf numFmtId="176" fontId="14" fillId="0" borderId="3" xfId="3" applyNumberFormat="1" applyFont="1" applyBorder="1" applyAlignment="1">
      <alignment horizontal="center" vertical="center" wrapText="1" shrinkToFit="1"/>
    </xf>
    <xf numFmtId="41" fontId="14" fillId="0" borderId="3" xfId="1" applyNumberFormat="1" applyFont="1" applyBorder="1" applyAlignment="1">
      <alignment horizontal="center" vertical="center" shrinkToFit="1"/>
    </xf>
    <xf numFmtId="9" fontId="14" fillId="0" borderId="4" xfId="1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/>
    </xf>
    <xf numFmtId="176" fontId="14" fillId="0" borderId="0" xfId="3" applyNumberFormat="1" applyFont="1" applyBorder="1" applyAlignment="1">
      <alignment vertical="center" shrinkToFit="1"/>
    </xf>
    <xf numFmtId="41" fontId="14" fillId="0" borderId="0" xfId="1" applyNumberFormat="1" applyFont="1" applyBorder="1" applyAlignment="1">
      <alignment horizontal="center" vertical="center" shrinkToFit="1"/>
    </xf>
    <xf numFmtId="9" fontId="14" fillId="0" borderId="0" xfId="1" applyNumberFormat="1" applyFont="1" applyBorder="1" applyAlignment="1">
      <alignment horizontal="center" vertical="center" shrinkToFit="1"/>
    </xf>
    <xf numFmtId="176" fontId="14" fillId="0" borderId="1" xfId="3" applyNumberFormat="1" applyFont="1" applyBorder="1" applyAlignment="1">
      <alignment horizontal="center" vertical="center" wrapText="1" shrinkToFit="1"/>
    </xf>
    <xf numFmtId="41" fontId="14" fillId="0" borderId="1" xfId="1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41" fontId="15" fillId="0" borderId="9" xfId="1" applyNumberFormat="1" applyFont="1" applyBorder="1" applyAlignment="1">
      <alignment horizontal="center" vertical="center" shrinkToFit="1"/>
    </xf>
    <xf numFmtId="9" fontId="15" fillId="0" borderId="10" xfId="1" applyNumberFormat="1" applyFont="1" applyBorder="1" applyAlignment="1">
      <alignment horizontal="center" vertical="center" shrinkToFit="1"/>
    </xf>
    <xf numFmtId="178" fontId="14" fillId="0" borderId="1" xfId="1" applyNumberFormat="1" applyFont="1" applyBorder="1" applyAlignment="1">
      <alignment horizontal="center" vertical="center" shrinkToFit="1"/>
    </xf>
    <xf numFmtId="178" fontId="14" fillId="0" borderId="3" xfId="1" applyNumberFormat="1" applyFont="1" applyBorder="1" applyAlignment="1">
      <alignment horizontal="center" vertical="center" shrinkToFit="1"/>
    </xf>
    <xf numFmtId="41" fontId="14" fillId="0" borderId="1" xfId="1" applyNumberFormat="1" applyFont="1" applyBorder="1" applyAlignment="1">
      <alignment vertical="center" shrinkToFit="1"/>
    </xf>
    <xf numFmtId="41" fontId="14" fillId="3" borderId="1" xfId="1" applyNumberFormat="1" applyFont="1" applyFill="1" applyBorder="1" applyAlignment="1">
      <alignment vertical="center" shrinkToFit="1"/>
    </xf>
    <xf numFmtId="41" fontId="14" fillId="3" borderId="3" xfId="1" applyNumberFormat="1" applyFont="1" applyFill="1" applyBorder="1" applyAlignment="1">
      <alignment vertical="center" shrinkToFit="1"/>
    </xf>
    <xf numFmtId="41" fontId="14" fillId="0" borderId="3" xfId="1" applyNumberFormat="1" applyFont="1" applyBorder="1" applyAlignment="1">
      <alignment vertical="center" shrinkToFit="1"/>
    </xf>
    <xf numFmtId="0" fontId="0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NumberFormat="1" applyFont="1"/>
    <xf numFmtId="0" fontId="16" fillId="0" borderId="0" xfId="0" applyNumberFormat="1" applyFont="1" applyAlignment="1"/>
    <xf numFmtId="9" fontId="14" fillId="0" borderId="2" xfId="1" applyNumberFormat="1" applyFont="1" applyBorder="1" applyAlignment="1">
      <alignment horizontal="center" vertical="center" shrinkToFit="1"/>
    </xf>
    <xf numFmtId="176" fontId="14" fillId="0" borderId="1" xfId="3" applyNumberFormat="1" applyFont="1" applyBorder="1" applyAlignment="1">
      <alignment vertical="center" shrinkToFit="1"/>
    </xf>
    <xf numFmtId="9" fontId="15" fillId="0" borderId="2" xfId="1" applyNumberFormat="1" applyFont="1" applyBorder="1" applyAlignment="1">
      <alignment horizontal="center" vertical="center" shrinkToFit="1"/>
    </xf>
    <xf numFmtId="176" fontId="15" fillId="0" borderId="9" xfId="3" applyNumberFormat="1" applyFont="1" applyBorder="1" applyAlignment="1">
      <alignment vertical="center" shrinkToFit="1"/>
    </xf>
    <xf numFmtId="178" fontId="14" fillId="0" borderId="1" xfId="1" applyNumberFormat="1" applyFont="1" applyBorder="1" applyAlignment="1">
      <alignment horizontal="right" vertical="center" shrinkToFit="1"/>
    </xf>
    <xf numFmtId="0" fontId="13" fillId="0" borderId="5" xfId="0" applyNumberFormat="1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41" fontId="13" fillId="0" borderId="15" xfId="0" applyNumberFormat="1" applyFont="1" applyBorder="1" applyAlignment="1">
      <alignment horizontal="right" vertical="center" shrinkToFit="1"/>
    </xf>
    <xf numFmtId="41" fontId="13" fillId="0" borderId="16" xfId="0" applyNumberFormat="1" applyFont="1" applyBorder="1" applyAlignment="1">
      <alignment horizontal="right" vertical="center" shrinkToFit="1"/>
    </xf>
    <xf numFmtId="0" fontId="13" fillId="0" borderId="17" xfId="0" applyNumberFormat="1" applyFont="1" applyFill="1" applyBorder="1" applyAlignment="1">
      <alignment horizontal="center" vertical="center"/>
    </xf>
    <xf numFmtId="41" fontId="13" fillId="0" borderId="18" xfId="0" applyNumberFormat="1" applyFont="1" applyBorder="1" applyAlignment="1">
      <alignment horizontal="right" vertical="center" shrinkToFit="1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 shrinkToFit="1"/>
    </xf>
    <xf numFmtId="0" fontId="11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41" fontId="13" fillId="0" borderId="26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0" fontId="14" fillId="0" borderId="1" xfId="0" applyNumberFormat="1" applyFont="1" applyBorder="1" applyAlignment="1">
      <alignment horizontal="center" vertical="center"/>
    </xf>
    <xf numFmtId="176" fontId="14" fillId="0" borderId="1" xfId="3" applyNumberFormat="1" applyFont="1" applyBorder="1" applyAlignment="1">
      <alignment vertical="center" shrinkToFit="1"/>
    </xf>
    <xf numFmtId="9" fontId="14" fillId="0" borderId="2" xfId="1" applyNumberFormat="1" applyFont="1" applyBorder="1" applyAlignment="1">
      <alignment horizontal="center" vertical="center" shrinkToFit="1"/>
    </xf>
    <xf numFmtId="176" fontId="14" fillId="0" borderId="3" xfId="3" applyNumberFormat="1" applyFont="1" applyBorder="1" applyAlignment="1">
      <alignment vertical="center" shrinkToFit="1"/>
    </xf>
    <xf numFmtId="41" fontId="17" fillId="0" borderId="1" xfId="4" applyNumberFormat="1" applyFont="1" applyFill="1" applyBorder="1" applyAlignment="1">
      <alignment horizontal="center" vertical="center" shrinkToFit="1"/>
    </xf>
    <xf numFmtId="178" fontId="17" fillId="0" borderId="1" xfId="4" applyNumberFormat="1" applyFont="1" applyFill="1" applyBorder="1" applyAlignment="1">
      <alignment horizontal="right" vertical="center" shrinkToFit="1"/>
    </xf>
    <xf numFmtId="41" fontId="11" fillId="0" borderId="13" xfId="1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>
      <alignment horizontal="center" vertical="center"/>
    </xf>
    <xf numFmtId="41" fontId="13" fillId="0" borderId="11" xfId="0" applyNumberFormat="1" applyFont="1" applyFill="1" applyBorder="1" applyAlignment="1" applyProtection="1">
      <alignment horizontal="right" vertical="center" shrinkToFit="1"/>
    </xf>
    <xf numFmtId="177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horizontal="center" vertical="center"/>
    </xf>
    <xf numFmtId="177" fontId="13" fillId="0" borderId="3" xfId="0" applyNumberFormat="1" applyFont="1" applyFill="1" applyBorder="1" applyAlignment="1" applyProtection="1">
      <alignment horizontal="center" vertical="center"/>
    </xf>
    <xf numFmtId="41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right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41" fontId="13" fillId="0" borderId="26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vertical="center" shrinkToFit="1"/>
    </xf>
    <xf numFmtId="0" fontId="13" fillId="0" borderId="25" xfId="0" applyNumberFormat="1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41" fontId="13" fillId="0" borderId="3" xfId="0" applyNumberFormat="1" applyFont="1" applyFill="1" applyBorder="1" applyAlignment="1" applyProtection="1">
      <alignment horizontal="right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41" fontId="13" fillId="0" borderId="11" xfId="0" applyNumberFormat="1" applyFont="1" applyFill="1" applyBorder="1" applyAlignment="1" applyProtection="1">
      <alignment horizontal="right" vertical="center" shrinkToFit="1"/>
    </xf>
    <xf numFmtId="177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horizontal="center" vertical="center"/>
    </xf>
    <xf numFmtId="177" fontId="13" fillId="0" borderId="3" xfId="0" applyNumberFormat="1" applyFont="1" applyFill="1" applyBorder="1" applyAlignment="1" applyProtection="1">
      <alignment horizontal="center" vertical="center"/>
    </xf>
    <xf numFmtId="41" fontId="13" fillId="0" borderId="3" xfId="0" applyNumberFormat="1" applyFont="1" applyFill="1" applyBorder="1" applyAlignment="1" applyProtection="1">
      <alignment horizontal="center" vertical="center"/>
    </xf>
    <xf numFmtId="177" fontId="13" fillId="0" borderId="13" xfId="0" applyNumberFormat="1" applyFont="1" applyFill="1" applyBorder="1" applyAlignment="1" applyProtection="1">
      <alignment horizontal="center" vertical="center"/>
    </xf>
    <xf numFmtId="41" fontId="13" fillId="0" borderId="13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 wrapText="1"/>
    </xf>
    <xf numFmtId="41" fontId="13" fillId="0" borderId="14" xfId="0" applyNumberFormat="1" applyFont="1" applyFill="1" applyBorder="1" applyAlignment="1" applyProtection="1">
      <alignment horizontal="center" vertical="center"/>
    </xf>
    <xf numFmtId="41" fontId="13" fillId="0" borderId="2" xfId="0" applyNumberFormat="1" applyFont="1" applyFill="1" applyBorder="1" applyAlignment="1" applyProtection="1">
      <alignment horizontal="center" vertical="center"/>
    </xf>
    <xf numFmtId="41" fontId="13" fillId="0" borderId="4" xfId="0" applyNumberFormat="1" applyFont="1" applyFill="1" applyBorder="1" applyAlignment="1" applyProtection="1">
      <alignment horizontal="center" vertical="center"/>
    </xf>
    <xf numFmtId="41" fontId="13" fillId="0" borderId="27" xfId="0" applyNumberFormat="1" applyFont="1" applyFill="1" applyBorder="1" applyAlignment="1" applyProtection="1">
      <alignment horizontal="center" vertical="center"/>
    </xf>
    <xf numFmtId="41" fontId="13" fillId="0" borderId="30" xfId="0" applyNumberFormat="1" applyFont="1" applyFill="1" applyBorder="1" applyAlignment="1" applyProtection="1">
      <alignment horizontal="center" vertical="center"/>
    </xf>
    <xf numFmtId="177" fontId="13" fillId="0" borderId="15" xfId="0" applyNumberFormat="1" applyFont="1" applyFill="1" applyBorder="1" applyAlignment="1" applyProtection="1">
      <alignment horizontal="center" vertical="center"/>
    </xf>
    <xf numFmtId="41" fontId="13" fillId="0" borderId="15" xfId="0" applyNumberFormat="1" applyFont="1" applyFill="1" applyBorder="1" applyAlignment="1" applyProtection="1">
      <alignment horizontal="center" vertical="center"/>
    </xf>
    <xf numFmtId="41" fontId="13" fillId="0" borderId="16" xfId="0" applyNumberFormat="1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horizontal="right" vertical="center"/>
    </xf>
    <xf numFmtId="41" fontId="13" fillId="0" borderId="1" xfId="0" applyNumberFormat="1" applyFont="1" applyFill="1" applyBorder="1" applyAlignment="1" applyProtection="1">
      <alignment horizontal="right" vertical="center"/>
    </xf>
    <xf numFmtId="41" fontId="13" fillId="0" borderId="5" xfId="0" applyNumberFormat="1" applyFont="1" applyFill="1" applyBorder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41" fontId="13" fillId="0" borderId="31" xfId="0" applyNumberFormat="1" applyFont="1" applyFill="1" applyBorder="1" applyAlignment="1" applyProtection="1">
      <alignment horizontal="right" vertical="center"/>
    </xf>
    <xf numFmtId="41" fontId="13" fillId="0" borderId="13" xfId="0" applyNumberFormat="1" applyFont="1" applyFill="1" applyBorder="1" applyAlignment="1" applyProtection="1">
      <alignment horizontal="right" vertical="center"/>
    </xf>
    <xf numFmtId="41" fontId="13" fillId="0" borderId="13" xfId="0" applyNumberFormat="1" applyFont="1" applyFill="1" applyBorder="1" applyAlignment="1" applyProtection="1">
      <alignment horizontal="right" vertical="center"/>
    </xf>
    <xf numFmtId="41" fontId="13" fillId="0" borderId="3" xfId="0" applyNumberFormat="1" applyFont="1" applyFill="1" applyBorder="1" applyAlignment="1" applyProtection="1">
      <alignment horizontal="right" vertical="center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41" fontId="13" fillId="0" borderId="1" xfId="0" applyNumberFormat="1" applyFont="1" applyFill="1" applyBorder="1" applyAlignment="1" applyProtection="1">
      <alignment horizontal="center" vertical="center"/>
    </xf>
    <xf numFmtId="177" fontId="13" fillId="0" borderId="3" xfId="0" applyNumberFormat="1" applyFont="1" applyFill="1" applyBorder="1" applyAlignment="1" applyProtection="1">
      <alignment horizontal="center" vertical="center"/>
    </xf>
    <xf numFmtId="41" fontId="13" fillId="0" borderId="3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 wrapText="1"/>
    </xf>
    <xf numFmtId="177" fontId="13" fillId="0" borderId="13" xfId="0" applyNumberFormat="1" applyFont="1" applyFill="1" applyBorder="1" applyAlignment="1" applyProtection="1">
      <alignment horizontal="center" vertical="center"/>
    </xf>
    <xf numFmtId="41" fontId="13" fillId="0" borderId="1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41" fontId="13" fillId="0" borderId="11" xfId="0" applyNumberFormat="1" applyFont="1" applyFill="1" applyBorder="1" applyAlignment="1" applyProtection="1">
      <alignment horizontal="right" vertical="center" shrinkToFit="1"/>
    </xf>
    <xf numFmtId="177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horizontal="center" vertical="center"/>
    </xf>
    <xf numFmtId="177" fontId="13" fillId="0" borderId="3" xfId="0" applyNumberFormat="1" applyFont="1" applyFill="1" applyBorder="1" applyAlignment="1" applyProtection="1">
      <alignment horizontal="center" vertical="center"/>
    </xf>
    <xf numFmtId="41" fontId="13" fillId="0" borderId="3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vertical="center"/>
    </xf>
    <xf numFmtId="0" fontId="13" fillId="0" borderId="22" xfId="0" applyNumberFormat="1" applyFont="1" applyFill="1" applyBorder="1" applyAlignment="1" applyProtection="1">
      <alignment vertical="center"/>
    </xf>
    <xf numFmtId="0" fontId="13" fillId="0" borderId="23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41" fontId="13" fillId="0" borderId="16" xfId="0" applyNumberFormat="1" applyFont="1" applyFill="1" applyBorder="1" applyAlignment="1" applyProtection="1">
      <alignment horizontal="right" vertical="center" shrinkToFit="1"/>
    </xf>
    <xf numFmtId="177" fontId="13" fillId="0" borderId="13" xfId="0" applyNumberFormat="1" applyFont="1" applyFill="1" applyBorder="1" applyAlignment="1" applyProtection="1">
      <alignment horizontal="center" vertical="center"/>
    </xf>
    <xf numFmtId="41" fontId="13" fillId="0" borderId="13" xfId="0" applyNumberFormat="1" applyFont="1" applyFill="1" applyBorder="1" applyAlignment="1" applyProtection="1">
      <alignment horizontal="center" vertical="center"/>
    </xf>
    <xf numFmtId="41" fontId="13" fillId="0" borderId="14" xfId="0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horizontal="center" vertical="center"/>
    </xf>
    <xf numFmtId="41" fontId="13" fillId="0" borderId="2" xfId="0" applyNumberFormat="1" applyFont="1" applyFill="1" applyBorder="1" applyAlignment="1" applyProtection="1">
      <alignment horizontal="center" vertical="center"/>
    </xf>
    <xf numFmtId="177" fontId="13" fillId="0" borderId="3" xfId="0" applyNumberFormat="1" applyFont="1" applyFill="1" applyBorder="1" applyAlignment="1" applyProtection="1">
      <alignment horizontal="center" vertical="center"/>
    </xf>
    <xf numFmtId="41" fontId="13" fillId="0" borderId="3" xfId="0" applyNumberFormat="1" applyFont="1" applyFill="1" applyBorder="1" applyAlignment="1" applyProtection="1">
      <alignment horizontal="center" vertical="center"/>
    </xf>
    <xf numFmtId="41" fontId="13" fillId="0" borderId="4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15" fillId="0" borderId="36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/>
    <xf numFmtId="0" fontId="15" fillId="0" borderId="24" xfId="0" applyNumberFormat="1" applyFont="1" applyBorder="1" applyAlignment="1"/>
    <xf numFmtId="176" fontId="14" fillId="0" borderId="1" xfId="3" applyNumberFormat="1" applyFont="1" applyBorder="1" applyAlignment="1">
      <alignment vertical="center" shrinkToFit="1"/>
    </xf>
    <xf numFmtId="9" fontId="14" fillId="0" borderId="2" xfId="1" applyNumberFormat="1" applyFont="1" applyBorder="1" applyAlignment="1">
      <alignment horizontal="center" vertical="center" shrinkToFit="1"/>
    </xf>
    <xf numFmtId="0" fontId="15" fillId="0" borderId="24" xfId="0" applyNumberFormat="1" applyFont="1" applyBorder="1" applyAlignment="1">
      <alignment horizontal="center" vertical="center" wrapText="1"/>
    </xf>
    <xf numFmtId="176" fontId="14" fillId="0" borderId="3" xfId="3" applyNumberFormat="1" applyFont="1" applyBorder="1" applyAlignment="1">
      <alignment vertical="center" shrinkToFi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9" fontId="14" fillId="0" borderId="8" xfId="1" applyNumberFormat="1" applyFont="1" applyBorder="1" applyAlignment="1">
      <alignment horizontal="center" vertical="center" shrinkToFit="1"/>
    </xf>
    <xf numFmtId="9" fontId="14" fillId="0" borderId="39" xfId="1" applyNumberFormat="1" applyFont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/>
    <xf numFmtId="0" fontId="19" fillId="0" borderId="0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/>
    <xf numFmtId="0" fontId="15" fillId="0" borderId="33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/>
    <xf numFmtId="0" fontId="15" fillId="0" borderId="20" xfId="0" applyNumberFormat="1" applyFont="1" applyBorder="1" applyAlignment="1"/>
    <xf numFmtId="0" fontId="15" fillId="0" borderId="9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1" fontId="11" fillId="0" borderId="33" xfId="1" applyNumberFormat="1" applyFont="1" applyBorder="1" applyAlignment="1">
      <alignment horizontal="center" vertical="center" wrapText="1"/>
    </xf>
    <xf numFmtId="41" fontId="11" fillId="0" borderId="25" xfId="1" applyNumberFormat="1" applyFont="1" applyBorder="1" applyAlignment="1">
      <alignment horizontal="center" vertical="center" wrapText="1"/>
    </xf>
    <xf numFmtId="41" fontId="11" fillId="0" borderId="25" xfId="1" applyNumberFormat="1" applyFont="1" applyBorder="1" applyAlignment="1">
      <alignment horizontal="center" vertical="center"/>
    </xf>
    <xf numFmtId="41" fontId="0" fillId="0" borderId="9" xfId="1" applyNumberFormat="1" applyFont="1" applyBorder="1" applyAlignment="1">
      <alignment horizontal="center" vertical="center"/>
    </xf>
    <xf numFmtId="41" fontId="0" fillId="0" borderId="10" xfId="1" applyNumberFormat="1" applyFont="1" applyBorder="1" applyAlignment="1">
      <alignment horizontal="center" vertical="center"/>
    </xf>
    <xf numFmtId="41" fontId="0" fillId="0" borderId="8" xfId="1" applyNumberFormat="1" applyFont="1" applyBorder="1" applyAlignment="1">
      <alignment horizontal="center" vertical="center"/>
    </xf>
    <xf numFmtId="41" fontId="11" fillId="0" borderId="34" xfId="1" applyNumberFormat="1" applyFont="1" applyBorder="1" applyAlignment="1">
      <alignment horizontal="center" vertical="center"/>
    </xf>
    <xf numFmtId="41" fontId="11" fillId="0" borderId="35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41" fontId="0" fillId="0" borderId="33" xfId="1" applyNumberFormat="1" applyFont="1" applyBorder="1" applyAlignment="1">
      <alignment horizontal="center" vertical="center"/>
    </xf>
    <xf numFmtId="41" fontId="0" fillId="0" borderId="35" xfId="1" applyNumberFormat="1" applyFont="1" applyBorder="1" applyAlignment="1">
      <alignment horizontal="center" vertical="center"/>
    </xf>
    <xf numFmtId="41" fontId="11" fillId="0" borderId="24" xfId="1" applyNumberFormat="1" applyFont="1" applyBorder="1" applyAlignment="1">
      <alignment horizontal="center" vertical="center"/>
    </xf>
    <xf numFmtId="41" fontId="11" fillId="0" borderId="33" xfId="1" applyNumberFormat="1" applyFont="1" applyBorder="1" applyAlignment="1">
      <alignment horizontal="center" vertical="center"/>
    </xf>
    <xf numFmtId="41" fontId="11" fillId="0" borderId="40" xfId="1" applyNumberFormat="1" applyFont="1" applyBorder="1" applyAlignment="1">
      <alignment horizontal="center" vertical="center"/>
    </xf>
    <xf numFmtId="41" fontId="11" fillId="0" borderId="41" xfId="1" applyNumberFormat="1" applyFont="1" applyBorder="1" applyAlignment="1">
      <alignment horizontal="center" vertical="center"/>
    </xf>
    <xf numFmtId="41" fontId="4" fillId="0" borderId="0" xfId="1" applyNumberFormat="1" applyFont="1" applyAlignment="1">
      <alignment horizontal="left" vertical="center"/>
    </xf>
    <xf numFmtId="41" fontId="20" fillId="0" borderId="0" xfId="1" applyNumberFormat="1" applyFont="1" applyBorder="1" applyAlignment="1">
      <alignment horizontal="left" vertical="center"/>
    </xf>
    <xf numFmtId="41" fontId="22" fillId="0" borderId="5" xfId="1" applyNumberFormat="1" applyBorder="1" applyAlignment="1">
      <alignment horizontal="center" vertical="center"/>
    </xf>
    <xf numFmtId="41" fontId="22" fillId="0" borderId="9" xfId="1" applyNumberFormat="1" applyBorder="1" applyAlignment="1">
      <alignment horizontal="center" vertical="center"/>
    </xf>
    <xf numFmtId="41" fontId="22" fillId="0" borderId="42" xfId="1" applyNumberFormat="1" applyBorder="1" applyAlignment="1">
      <alignment horizontal="center" vertical="center"/>
    </xf>
    <xf numFmtId="41" fontId="22" fillId="0" borderId="28" xfId="1" applyNumberFormat="1" applyBorder="1" applyAlignment="1">
      <alignment horizontal="center" vertical="center"/>
    </xf>
    <xf numFmtId="41" fontId="21" fillId="0" borderId="25" xfId="1" applyNumberFormat="1" applyFont="1" applyBorder="1" applyAlignment="1">
      <alignment horizontal="center" vertical="center"/>
    </xf>
    <xf numFmtId="41" fontId="4" fillId="0" borderId="0" xfId="1" applyNumberFormat="1" applyFont="1" applyAlignment="1">
      <alignment horizontal="left" vertical="top"/>
    </xf>
    <xf numFmtId="41" fontId="21" fillId="0" borderId="24" xfId="1" applyNumberFormat="1" applyFont="1" applyBorder="1" applyAlignment="1">
      <alignment horizontal="center" vertical="center"/>
    </xf>
    <xf numFmtId="41" fontId="21" fillId="0" borderId="35" xfId="1" applyNumberFormat="1" applyFont="1" applyBorder="1" applyAlignment="1">
      <alignment horizontal="center" vertical="center"/>
    </xf>
    <xf numFmtId="41" fontId="21" fillId="0" borderId="40" xfId="1" applyNumberFormat="1" applyFont="1" applyBorder="1" applyAlignment="1">
      <alignment horizontal="center" vertical="center"/>
    </xf>
    <xf numFmtId="41" fontId="21" fillId="0" borderId="41" xfId="1" applyNumberFormat="1" applyFont="1" applyBorder="1" applyAlignment="1">
      <alignment horizontal="center" vertical="center"/>
    </xf>
    <xf numFmtId="41" fontId="0" fillId="0" borderId="10" xfId="1" applyNumberFormat="1" applyFont="1" applyBorder="1" applyAlignment="1">
      <alignment horizontal="center" vertical="center" wrapText="1"/>
    </xf>
    <xf numFmtId="41" fontId="0" fillId="0" borderId="43" xfId="1" applyNumberFormat="1" applyFont="1" applyBorder="1" applyAlignment="1">
      <alignment horizontal="center" vertical="center"/>
    </xf>
    <xf numFmtId="41" fontId="22" fillId="0" borderId="44" xfId="1" applyNumberFormat="1" applyBorder="1" applyAlignment="1">
      <alignment horizontal="center" vertical="center"/>
    </xf>
    <xf numFmtId="41" fontId="22" fillId="0" borderId="45" xfId="1" applyNumberFormat="1" applyBorder="1" applyAlignment="1">
      <alignment horizontal="center" vertical="center"/>
    </xf>
    <xf numFmtId="41" fontId="22" fillId="0" borderId="46" xfId="1" applyNumberFormat="1" applyBorder="1" applyAlignment="1">
      <alignment horizontal="center" vertical="center"/>
    </xf>
    <xf numFmtId="41" fontId="0" fillId="0" borderId="47" xfId="1" applyNumberFormat="1" applyFont="1" applyBorder="1" applyAlignment="1">
      <alignment horizontal="center" vertical="center"/>
    </xf>
    <xf numFmtId="41" fontId="22" fillId="0" borderId="48" xfId="1" applyNumberForma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/>
    <xf numFmtId="0" fontId="13" fillId="0" borderId="2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 textRotation="255"/>
    </xf>
    <xf numFmtId="0" fontId="13" fillId="0" borderId="25" xfId="0" applyNumberFormat="1" applyFont="1" applyBorder="1" applyAlignment="1">
      <alignment horizontal="center" vertical="center" textRotation="255"/>
    </xf>
    <xf numFmtId="0" fontId="13" fillId="0" borderId="49" xfId="0" applyNumberFormat="1" applyFont="1" applyBorder="1" applyAlignment="1">
      <alignment horizontal="center" vertical="center"/>
    </xf>
    <xf numFmtId="0" fontId="13" fillId="0" borderId="5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 textRotation="255"/>
    </xf>
    <xf numFmtId="0" fontId="13" fillId="0" borderId="41" xfId="0" applyNumberFormat="1" applyFont="1" applyBorder="1" applyAlignment="1">
      <alignment horizontal="center" vertical="center" textRotation="255"/>
    </xf>
    <xf numFmtId="0" fontId="13" fillId="0" borderId="24" xfId="0" applyNumberFormat="1" applyFont="1" applyBorder="1" applyAlignment="1">
      <alignment horizontal="center" vertical="center" textRotation="255"/>
    </xf>
    <xf numFmtId="0" fontId="13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 textRotation="255"/>
    </xf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/>
    <xf numFmtId="0" fontId="13" fillId="0" borderId="27" xfId="0" applyNumberFormat="1" applyFont="1" applyFill="1" applyBorder="1" applyAlignment="1" applyProtection="1">
      <alignment horizontal="center" vertical="center"/>
    </xf>
    <xf numFmtId="0" fontId="13" fillId="0" borderId="51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 textRotation="255"/>
    </xf>
    <xf numFmtId="0" fontId="13" fillId="0" borderId="25" xfId="0" applyNumberFormat="1" applyFont="1" applyFill="1" applyBorder="1" applyAlignment="1" applyProtection="1">
      <alignment horizontal="center" vertical="center" textRotation="255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3" fillId="0" borderId="50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 textRotation="255"/>
    </xf>
    <xf numFmtId="0" fontId="13" fillId="0" borderId="41" xfId="0" applyNumberFormat="1" applyFont="1" applyFill="1" applyBorder="1" applyAlignment="1" applyProtection="1">
      <alignment horizontal="center" vertical="center" textRotation="255"/>
    </xf>
    <xf numFmtId="0" fontId="13" fillId="0" borderId="24" xfId="0" applyNumberFormat="1" applyFont="1" applyFill="1" applyBorder="1" applyAlignment="1" applyProtection="1">
      <alignment horizontal="center" vertical="center" textRotation="255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 textRotation="255"/>
    </xf>
    <xf numFmtId="0" fontId="13" fillId="0" borderId="22" xfId="0" applyNumberFormat="1" applyFont="1" applyFill="1" applyBorder="1" applyAlignment="1" applyProtection="1">
      <alignment vertical="center"/>
    </xf>
    <xf numFmtId="0" fontId="13" fillId="0" borderId="23" xfId="0" applyNumberFormat="1" applyFont="1" applyFill="1" applyBorder="1" applyAlignment="1" applyProtection="1">
      <alignment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textRotation="255"/>
    </xf>
    <xf numFmtId="0" fontId="11" fillId="0" borderId="25" xfId="0" applyNumberFormat="1" applyFont="1" applyBorder="1" applyAlignment="1">
      <alignment horizontal="center" vertical="center" textRotation="255"/>
    </xf>
    <xf numFmtId="0" fontId="11" fillId="0" borderId="13" xfId="0" applyNumberFormat="1" applyFont="1" applyBorder="1" applyAlignment="1">
      <alignment horizontal="center" vertical="center"/>
    </xf>
  </cellXfs>
  <cellStyles count="5">
    <cellStyle name="강조색3" xfId="4"/>
    <cellStyle name="백분율" xfId="1" builtinId="5"/>
    <cellStyle name="백분율 2" xfId="2"/>
    <cellStyle name="통화" xfId="3" builtinId="4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6DAF1"/>
  </sheetPr>
  <dimension ref="A1:P22"/>
  <sheetViews>
    <sheetView tabSelected="1" zoomScaleNormal="100" zoomScaleSheetLayoutView="75" workbookViewId="0">
      <selection activeCell="O18" sqref="O18"/>
    </sheetView>
  </sheetViews>
  <sheetFormatPr defaultColWidth="8.88671875" defaultRowHeight="13.5" x14ac:dyDescent="0.15"/>
  <cols>
    <col min="1" max="1" width="5.6640625" customWidth="1"/>
    <col min="2" max="2" width="4.33203125" customWidth="1"/>
    <col min="3" max="3" width="8.33203125" customWidth="1"/>
    <col min="4" max="4" width="8.5546875" customWidth="1"/>
    <col min="5" max="5" width="8" style="4" customWidth="1"/>
    <col min="6" max="6" width="7.77734375" customWidth="1"/>
    <col min="7" max="7" width="8.77734375" customWidth="1"/>
    <col min="8" max="8" width="7.88671875" customWidth="1"/>
    <col min="9" max="9" width="7.77734375" customWidth="1"/>
    <col min="10" max="10" width="8.77734375" customWidth="1"/>
    <col min="11" max="11" width="7.109375" customWidth="1"/>
  </cols>
  <sheetData>
    <row r="1" spans="1:14" ht="45" customHeight="1" x14ac:dyDescent="0.15">
      <c r="A1" s="279" t="s">
        <v>191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4" ht="30.75" customHeight="1" x14ac:dyDescent="0.3">
      <c r="A2" s="17"/>
      <c r="B2" s="109"/>
      <c r="C2" s="17"/>
      <c r="D2" s="17"/>
      <c r="E2" s="17"/>
      <c r="F2" s="17"/>
      <c r="G2" s="17"/>
      <c r="H2" s="17"/>
      <c r="I2" s="17"/>
      <c r="J2" s="17"/>
      <c r="K2" s="17"/>
    </row>
    <row r="3" spans="1:14" ht="24.75" customHeight="1" x14ac:dyDescent="0.25">
      <c r="A3" s="133" t="s">
        <v>91</v>
      </c>
      <c r="B3" s="133"/>
      <c r="C3" s="133"/>
      <c r="D3" s="133"/>
      <c r="E3" s="133"/>
      <c r="F3" s="133"/>
      <c r="G3" s="134"/>
      <c r="H3" s="134"/>
      <c r="I3" s="134"/>
      <c r="J3" s="132"/>
    </row>
    <row r="4" spans="1:14" ht="21.95" customHeight="1" x14ac:dyDescent="0.25">
      <c r="A4" s="133" t="s">
        <v>244</v>
      </c>
      <c r="B4" s="133"/>
      <c r="C4" s="133"/>
      <c r="D4" s="133"/>
      <c r="E4" s="135"/>
      <c r="F4" s="134"/>
      <c r="G4" s="134"/>
      <c r="H4" s="134"/>
      <c r="I4" s="134"/>
      <c r="J4" s="132"/>
    </row>
    <row r="5" spans="1:14" ht="21.95" customHeight="1" x14ac:dyDescent="0.25">
      <c r="A5" s="133" t="s">
        <v>206</v>
      </c>
      <c r="B5" s="133"/>
      <c r="C5" s="133"/>
      <c r="D5" s="133"/>
      <c r="E5" s="135"/>
      <c r="F5" s="134"/>
      <c r="G5" s="134"/>
      <c r="H5" s="134"/>
      <c r="I5" s="134"/>
      <c r="J5" s="132"/>
      <c r="N5" t="s">
        <v>127</v>
      </c>
    </row>
    <row r="6" spans="1:14" ht="18.75" customHeight="1" x14ac:dyDescent="0.15">
      <c r="A6" s="283" t="s">
        <v>178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</row>
    <row r="7" spans="1:14" ht="27" customHeight="1" x14ac:dyDescent="0.15">
      <c r="A7" s="286" t="s">
        <v>186</v>
      </c>
      <c r="B7" s="262"/>
      <c r="C7" s="287"/>
      <c r="D7" s="289" t="s">
        <v>226</v>
      </c>
      <c r="E7" s="289" t="s">
        <v>174</v>
      </c>
      <c r="F7" s="289"/>
      <c r="G7" s="289"/>
      <c r="H7" s="289" t="s">
        <v>179</v>
      </c>
      <c r="I7" s="289"/>
      <c r="J7" s="289"/>
      <c r="K7" s="284" t="s">
        <v>171</v>
      </c>
    </row>
    <row r="8" spans="1:14" ht="34.5" customHeight="1" x14ac:dyDescent="0.15">
      <c r="A8" s="269"/>
      <c r="B8" s="288"/>
      <c r="C8" s="282"/>
      <c r="D8" s="290"/>
      <c r="E8" s="122" t="s">
        <v>128</v>
      </c>
      <c r="F8" s="122" t="s">
        <v>70</v>
      </c>
      <c r="G8" s="123" t="s">
        <v>173</v>
      </c>
      <c r="H8" s="122" t="s">
        <v>128</v>
      </c>
      <c r="I8" s="122" t="s">
        <v>70</v>
      </c>
      <c r="J8" s="123" t="s">
        <v>173</v>
      </c>
      <c r="K8" s="285"/>
    </row>
    <row r="9" spans="1:14" ht="35.1" customHeight="1" x14ac:dyDescent="0.3">
      <c r="A9" s="280" t="s">
        <v>209</v>
      </c>
      <c r="B9" s="281"/>
      <c r="C9" s="282"/>
      <c r="D9" s="111">
        <v>9064</v>
      </c>
      <c r="E9" s="111">
        <f>SUM(E10,E11,E12)</f>
        <v>20</v>
      </c>
      <c r="F9" s="111">
        <f t="shared" ref="F9:G9" si="0">SUM(F10,F11,F12)</f>
        <v>149</v>
      </c>
      <c r="G9" s="111">
        <f t="shared" si="0"/>
        <v>866</v>
      </c>
      <c r="H9" s="111">
        <f>SUM(H10:H12)</f>
        <v>4200</v>
      </c>
      <c r="I9" s="111">
        <f t="shared" ref="I9:J9" si="1">SUM(I10:I12)</f>
        <v>11266</v>
      </c>
      <c r="J9" s="111">
        <f t="shared" si="1"/>
        <v>74020</v>
      </c>
      <c r="K9" s="138">
        <f>I9/D9</f>
        <v>1.2429390997352163</v>
      </c>
    </row>
    <row r="10" spans="1:14" ht="35.1" customHeight="1" x14ac:dyDescent="0.15">
      <c r="A10" s="268" t="s">
        <v>187</v>
      </c>
      <c r="B10" s="263" t="s">
        <v>233</v>
      </c>
      <c r="C10" s="264"/>
      <c r="D10" s="137">
        <v>4467</v>
      </c>
      <c r="E10" s="128">
        <v>1</v>
      </c>
      <c r="F10" s="128">
        <v>73</v>
      </c>
      <c r="G10" s="128">
        <v>693</v>
      </c>
      <c r="H10" s="128">
        <f>월별!D5</f>
        <v>1586</v>
      </c>
      <c r="I10" s="128">
        <f>월별!D6</f>
        <v>6239</v>
      </c>
      <c r="J10" s="128">
        <f>월별!D7</f>
        <v>68993</v>
      </c>
      <c r="K10" s="136">
        <f>I10/D10</f>
        <v>1.3966868144168345</v>
      </c>
    </row>
    <row r="11" spans="1:14" ht="35.1" customHeight="1" x14ac:dyDescent="0.15">
      <c r="A11" s="268"/>
      <c r="B11" s="263" t="s">
        <v>203</v>
      </c>
      <c r="C11" s="264"/>
      <c r="D11" s="137">
        <v>3151</v>
      </c>
      <c r="E11" s="128">
        <v>1</v>
      </c>
      <c r="F11" s="128">
        <v>13</v>
      </c>
      <c r="G11" s="128">
        <v>13</v>
      </c>
      <c r="H11" s="128">
        <f>월별!E5</f>
        <v>1581</v>
      </c>
      <c r="I11" s="128">
        <f>월별!E6</f>
        <v>3192</v>
      </c>
      <c r="J11" s="128">
        <f>월별!E7</f>
        <v>3192</v>
      </c>
      <c r="K11" s="136">
        <f>I11/D11</f>
        <v>1.0130117423040306</v>
      </c>
    </row>
    <row r="12" spans="1:14" ht="35.1" customHeight="1" x14ac:dyDescent="0.15">
      <c r="A12" s="268"/>
      <c r="B12" s="275" t="s">
        <v>237</v>
      </c>
      <c r="C12" s="110" t="s">
        <v>217</v>
      </c>
      <c r="D12" s="271">
        <v>1833</v>
      </c>
      <c r="E12" s="129">
        <v>18</v>
      </c>
      <c r="F12" s="129">
        <v>63</v>
      </c>
      <c r="G12" s="129">
        <v>160</v>
      </c>
      <c r="H12" s="128">
        <f>월별!F5</f>
        <v>1033</v>
      </c>
      <c r="I12" s="128">
        <f>월별!F6</f>
        <v>1835</v>
      </c>
      <c r="J12" s="128">
        <f>월별!F7</f>
        <v>1835</v>
      </c>
      <c r="K12" s="277">
        <f>I12/D12</f>
        <v>1.0010911074740863</v>
      </c>
    </row>
    <row r="13" spans="1:14" ht="35.1" customHeight="1" x14ac:dyDescent="0.15">
      <c r="A13" s="273"/>
      <c r="B13" s="276"/>
      <c r="C13" s="113" t="s">
        <v>160</v>
      </c>
      <c r="D13" s="274"/>
      <c r="E13" s="130">
        <v>0</v>
      </c>
      <c r="F13" s="130">
        <v>0</v>
      </c>
      <c r="G13" s="130">
        <v>0</v>
      </c>
      <c r="H13" s="131"/>
      <c r="I13" s="131"/>
      <c r="J13" s="131"/>
      <c r="K13" s="278"/>
    </row>
    <row r="14" spans="1:14" ht="35.1" customHeight="1" x14ac:dyDescent="0.15">
      <c r="A14" s="116"/>
      <c r="B14" s="116"/>
      <c r="C14" s="116"/>
      <c r="D14" s="117"/>
      <c r="E14" s="118"/>
      <c r="F14" s="118"/>
      <c r="G14" s="118"/>
      <c r="H14" s="118"/>
      <c r="I14" s="118"/>
      <c r="J14" s="118"/>
      <c r="K14" s="119"/>
    </row>
    <row r="15" spans="1:14" ht="35.1" customHeight="1" x14ac:dyDescent="0.15">
      <c r="A15" s="260" t="s">
        <v>199</v>
      </c>
      <c r="B15" s="261"/>
      <c r="C15" s="262"/>
      <c r="D15" s="139">
        <v>1342</v>
      </c>
      <c r="E15" s="124">
        <f t="shared" ref="E15:J15" si="2">SUM(E16:E20)</f>
        <v>11</v>
      </c>
      <c r="F15" s="124">
        <f t="shared" si="2"/>
        <v>11</v>
      </c>
      <c r="G15" s="124">
        <f t="shared" si="2"/>
        <v>2</v>
      </c>
      <c r="H15" s="124">
        <f t="shared" si="2"/>
        <v>1113</v>
      </c>
      <c r="I15" s="124">
        <f t="shared" si="2"/>
        <v>1372</v>
      </c>
      <c r="J15" s="124">
        <f t="shared" si="2"/>
        <v>197</v>
      </c>
      <c r="K15" s="125">
        <f>I15/D15</f>
        <v>1.0223546944858419</v>
      </c>
    </row>
    <row r="16" spans="1:14" ht="34.5" customHeight="1" x14ac:dyDescent="0.15">
      <c r="A16" s="268" t="s">
        <v>170</v>
      </c>
      <c r="B16" s="265" t="s">
        <v>211</v>
      </c>
      <c r="C16" s="170" t="s">
        <v>236</v>
      </c>
      <c r="D16" s="271">
        <v>447</v>
      </c>
      <c r="E16" s="112">
        <v>11</v>
      </c>
      <c r="F16" s="112">
        <v>11</v>
      </c>
      <c r="G16" s="140">
        <v>2</v>
      </c>
      <c r="H16" s="174">
        <f>월별!H5</f>
        <v>452</v>
      </c>
      <c r="I16" s="174">
        <f>월별!H6</f>
        <v>452</v>
      </c>
      <c r="J16" s="175">
        <f>월별!H7</f>
        <v>125</v>
      </c>
      <c r="K16" s="272">
        <f>I16/D16</f>
        <v>1.0111856823266219</v>
      </c>
      <c r="M16" s="169"/>
    </row>
    <row r="17" spans="1:16" ht="46.5" customHeight="1" x14ac:dyDescent="0.15">
      <c r="A17" s="268"/>
      <c r="B17" s="265"/>
      <c r="C17" s="120" t="s">
        <v>160</v>
      </c>
      <c r="D17" s="271"/>
      <c r="E17" s="112"/>
      <c r="F17" s="112"/>
      <c r="G17" s="112"/>
      <c r="H17" s="112">
        <v>15</v>
      </c>
      <c r="I17" s="112">
        <v>15</v>
      </c>
      <c r="J17" s="140">
        <v>2</v>
      </c>
      <c r="K17" s="272"/>
      <c r="M17" s="169"/>
    </row>
    <row r="18" spans="1:16" ht="35.1" customHeight="1" x14ac:dyDescent="0.15">
      <c r="A18" s="269"/>
      <c r="B18" s="266" t="s">
        <v>229</v>
      </c>
      <c r="C18" s="266"/>
      <c r="D18" s="171">
        <v>893</v>
      </c>
      <c r="E18" s="112">
        <v>0</v>
      </c>
      <c r="F18" s="112">
        <v>0</v>
      </c>
      <c r="G18" s="140">
        <v>0</v>
      </c>
      <c r="H18" s="112">
        <f>월별!I5</f>
        <v>645</v>
      </c>
      <c r="I18" s="121">
        <f>월별!I6</f>
        <v>904</v>
      </c>
      <c r="J18" s="140">
        <f>월별!I7</f>
        <v>70</v>
      </c>
      <c r="K18" s="172">
        <f>I18/D18</f>
        <v>1.0123180291153415</v>
      </c>
      <c r="P18" t="s">
        <v>93</v>
      </c>
    </row>
    <row r="19" spans="1:16" ht="35.1" customHeight="1" x14ac:dyDescent="0.15">
      <c r="A19" s="269"/>
      <c r="B19" s="266" t="s">
        <v>239</v>
      </c>
      <c r="C19" s="266"/>
      <c r="D19" s="171">
        <v>44</v>
      </c>
      <c r="E19" s="112"/>
      <c r="F19" s="112"/>
      <c r="G19" s="126"/>
      <c r="H19" s="112"/>
      <c r="I19" s="121"/>
      <c r="J19" s="126"/>
      <c r="K19" s="172">
        <f>I19/D19</f>
        <v>0</v>
      </c>
    </row>
    <row r="20" spans="1:16" ht="35.1" customHeight="1" x14ac:dyDescent="0.15">
      <c r="A20" s="270"/>
      <c r="B20" s="267" t="s">
        <v>235</v>
      </c>
      <c r="C20" s="267"/>
      <c r="D20" s="173">
        <v>44</v>
      </c>
      <c r="E20" s="114"/>
      <c r="F20" s="114"/>
      <c r="G20" s="127"/>
      <c r="H20" s="114">
        <v>1</v>
      </c>
      <c r="I20" s="114">
        <v>1</v>
      </c>
      <c r="J20" s="127">
        <v>0</v>
      </c>
      <c r="K20" s="115">
        <f>I20/D20</f>
        <v>2.2727272727272728E-2</v>
      </c>
    </row>
    <row r="21" spans="1:16" s="6" customFormat="1" ht="14.25" customHeight="1" x14ac:dyDescent="0.15">
      <c r="A21" s="108"/>
      <c r="B21" s="108"/>
      <c r="C21" s="108"/>
      <c r="D21" s="108"/>
      <c r="E21" s="108"/>
      <c r="F21" s="108"/>
      <c r="G21" s="108"/>
      <c r="H21" s="108"/>
    </row>
    <row r="22" spans="1:16" ht="21" customHeight="1" x14ac:dyDescent="0.1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</sheetData>
  <mergeCells count="23">
    <mergeCell ref="A1:K1"/>
    <mergeCell ref="A9:C9"/>
    <mergeCell ref="A6:K6"/>
    <mergeCell ref="K7:K8"/>
    <mergeCell ref="A7:C8"/>
    <mergeCell ref="E7:G7"/>
    <mergeCell ref="H7:J7"/>
    <mergeCell ref="D7:D8"/>
    <mergeCell ref="A22:K22"/>
    <mergeCell ref="A15:C15"/>
    <mergeCell ref="B10:C10"/>
    <mergeCell ref="B16:B17"/>
    <mergeCell ref="B19:C19"/>
    <mergeCell ref="B20:C20"/>
    <mergeCell ref="B18:C18"/>
    <mergeCell ref="A16:A20"/>
    <mergeCell ref="D16:D17"/>
    <mergeCell ref="K16:K17"/>
    <mergeCell ref="A10:A13"/>
    <mergeCell ref="D12:D13"/>
    <mergeCell ref="B12:B13"/>
    <mergeCell ref="B11:C11"/>
    <mergeCell ref="K12:K13"/>
  </mergeCells>
  <phoneticPr fontId="23" type="noConversion"/>
  <pageMargins left="0.40986111760139465" right="0.34986111521720886" top="0.55097222328186035" bottom="0.98416668176651001" header="0.51138889789581299" footer="0.51138889789581299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6DAF1"/>
  </sheetPr>
  <dimension ref="A1:AB80"/>
  <sheetViews>
    <sheetView zoomScale="106" zoomScaleNormal="106" zoomScaleSheetLayoutView="75" workbookViewId="0">
      <pane xSplit="3" ySplit="4" topLeftCell="D53" activePane="bottomRight" state="frozen"/>
      <selection pane="topRight"/>
      <selection pane="bottomLeft"/>
      <selection pane="bottomRight" activeCell="AC63" sqref="AC63:AD63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6" width="4.5546875" customWidth="1"/>
    <col min="27" max="27" width="6.33203125" bestFit="1" customWidth="1"/>
  </cols>
  <sheetData>
    <row r="1" spans="1:27" ht="24.75" customHeight="1" x14ac:dyDescent="0.15">
      <c r="A1" s="325" t="s">
        <v>163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16"/>
      <c r="AA1" s="16"/>
    </row>
    <row r="2" spans="1:27" ht="20.100000000000001" customHeight="1" x14ac:dyDescent="0.15">
      <c r="A2" s="360" t="s">
        <v>73</v>
      </c>
      <c r="B2" s="363" t="s">
        <v>151</v>
      </c>
      <c r="C2" s="363" t="s">
        <v>108</v>
      </c>
      <c r="D2" s="363" t="s">
        <v>94</v>
      </c>
      <c r="E2" s="363"/>
      <c r="F2" s="363"/>
      <c r="G2" s="363"/>
      <c r="H2" s="351" t="s">
        <v>165</v>
      </c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65"/>
      <c r="X2" s="243"/>
      <c r="Y2" s="244"/>
      <c r="Z2" s="244"/>
      <c r="AA2" s="245"/>
    </row>
    <row r="3" spans="1:27" ht="17.25" customHeight="1" x14ac:dyDescent="0.15">
      <c r="A3" s="361"/>
      <c r="B3" s="354"/>
      <c r="C3" s="354"/>
      <c r="D3" s="354" t="s">
        <v>134</v>
      </c>
      <c r="E3" s="354" t="s">
        <v>128</v>
      </c>
      <c r="F3" s="354" t="s">
        <v>70</v>
      </c>
      <c r="G3" s="354" t="s">
        <v>198</v>
      </c>
      <c r="H3" s="354" t="s">
        <v>122</v>
      </c>
      <c r="I3" s="355"/>
      <c r="J3" s="355"/>
      <c r="K3" s="355"/>
      <c r="L3" s="354" t="s">
        <v>106</v>
      </c>
      <c r="M3" s="354"/>
      <c r="N3" s="354"/>
      <c r="O3" s="354"/>
      <c r="P3" s="354" t="s">
        <v>7</v>
      </c>
      <c r="Q3" s="354"/>
      <c r="R3" s="354"/>
      <c r="S3" s="354"/>
      <c r="T3" s="354" t="s">
        <v>46</v>
      </c>
      <c r="U3" s="354"/>
      <c r="V3" s="354"/>
      <c r="W3" s="354"/>
      <c r="X3" s="354" t="s">
        <v>56</v>
      </c>
      <c r="Y3" s="354"/>
      <c r="Z3" s="354"/>
      <c r="AA3" s="366"/>
    </row>
    <row r="4" spans="1:27" ht="26.25" customHeight="1" x14ac:dyDescent="0.15">
      <c r="A4" s="362"/>
      <c r="B4" s="364"/>
      <c r="C4" s="364"/>
      <c r="D4" s="364"/>
      <c r="E4" s="364"/>
      <c r="F4" s="364"/>
      <c r="G4" s="364"/>
      <c r="H4" s="178" t="s">
        <v>26</v>
      </c>
      <c r="I4" s="178" t="s">
        <v>128</v>
      </c>
      <c r="J4" s="178" t="s">
        <v>70</v>
      </c>
      <c r="K4" s="186" t="s">
        <v>200</v>
      </c>
      <c r="L4" s="178" t="s">
        <v>26</v>
      </c>
      <c r="M4" s="178" t="s">
        <v>128</v>
      </c>
      <c r="N4" s="178" t="s">
        <v>70</v>
      </c>
      <c r="O4" s="186" t="s">
        <v>200</v>
      </c>
      <c r="P4" s="178" t="s">
        <v>26</v>
      </c>
      <c r="Q4" s="178" t="s">
        <v>128</v>
      </c>
      <c r="R4" s="178" t="s">
        <v>70</v>
      </c>
      <c r="S4" s="186" t="s">
        <v>200</v>
      </c>
      <c r="T4" s="178" t="s">
        <v>26</v>
      </c>
      <c r="U4" s="178" t="s">
        <v>128</v>
      </c>
      <c r="V4" s="178" t="s">
        <v>70</v>
      </c>
      <c r="W4" s="186" t="s">
        <v>200</v>
      </c>
      <c r="X4" s="246" t="s">
        <v>26</v>
      </c>
      <c r="Y4" s="246" t="s">
        <v>128</v>
      </c>
      <c r="Z4" s="246" t="s">
        <v>70</v>
      </c>
      <c r="AA4" s="247" t="s">
        <v>200</v>
      </c>
    </row>
    <row r="5" spans="1:27" ht="23.25" customHeight="1" x14ac:dyDescent="0.15">
      <c r="A5" s="369" t="s">
        <v>6</v>
      </c>
      <c r="B5" s="370"/>
      <c r="C5" s="371"/>
      <c r="D5" s="187"/>
      <c r="E5" s="179">
        <f>SUM(E6:E80)</f>
        <v>939</v>
      </c>
      <c r="F5" s="179">
        <f>SUM(F6:F80)</f>
        <v>1741</v>
      </c>
      <c r="G5" s="179">
        <f>SUM(G6:G80)</f>
        <v>1741</v>
      </c>
      <c r="H5" s="179"/>
      <c r="I5" s="179">
        <f>SUM(I6:I80)</f>
        <v>492</v>
      </c>
      <c r="J5" s="179">
        <f>SUM(J6:J80)</f>
        <v>492</v>
      </c>
      <c r="K5" s="179">
        <f>SUM(K6:K80)</f>
        <v>492</v>
      </c>
      <c r="L5" s="179"/>
      <c r="M5" s="179">
        <f>SUM(M6:M80)</f>
        <v>218</v>
      </c>
      <c r="N5" s="179">
        <f>SUM(N6:N80)</f>
        <v>362</v>
      </c>
      <c r="O5" s="179">
        <f>SUM(O6:O80)</f>
        <v>362</v>
      </c>
      <c r="P5" s="179"/>
      <c r="Q5" s="179">
        <f>SUM(Q6:Q80)</f>
        <v>115</v>
      </c>
      <c r="R5" s="179">
        <f>SUM(R6:R80)</f>
        <v>377</v>
      </c>
      <c r="S5" s="179"/>
      <c r="T5" s="179"/>
      <c r="U5" s="179">
        <f>SUM(U6:U80)</f>
        <v>112</v>
      </c>
      <c r="V5" s="179">
        <f>SUM(V6:V80)</f>
        <v>494</v>
      </c>
      <c r="W5" s="179">
        <f>SUM(W6:W80)</f>
        <v>494</v>
      </c>
      <c r="X5" s="248"/>
      <c r="Y5" s="248">
        <f>SUM(Y6:Y80)</f>
        <v>2</v>
      </c>
      <c r="Z5" s="248">
        <f>SUM(Z6:Z80)</f>
        <v>16</v>
      </c>
      <c r="AA5" s="249">
        <f>SUM(AA6:AA80)</f>
        <v>16</v>
      </c>
    </row>
    <row r="6" spans="1:27" s="14" customFormat="1" ht="20.100000000000001" customHeight="1" x14ac:dyDescent="0.15">
      <c r="A6" s="367" t="s">
        <v>84</v>
      </c>
      <c r="B6" s="363" t="s">
        <v>111</v>
      </c>
      <c r="C6" s="188" t="s">
        <v>101</v>
      </c>
      <c r="D6" s="188">
        <v>3</v>
      </c>
      <c r="E6" s="189">
        <f>SUM(I6,M6,Q6,U6,Y6)</f>
        <v>1</v>
      </c>
      <c r="F6" s="189">
        <f t="shared" ref="F6:G6" si="0">SUM(J6,N6,R6,V6,Z6)</f>
        <v>2</v>
      </c>
      <c r="G6" s="189">
        <f t="shared" si="0"/>
        <v>2</v>
      </c>
      <c r="H6" s="180"/>
      <c r="I6" s="181"/>
      <c r="J6" s="181"/>
      <c r="K6" s="181"/>
      <c r="L6" s="180">
        <v>44314</v>
      </c>
      <c r="M6" s="181">
        <v>1</v>
      </c>
      <c r="N6" s="181">
        <v>1</v>
      </c>
      <c r="O6" s="181">
        <v>1</v>
      </c>
      <c r="P6" s="180">
        <v>44385</v>
      </c>
      <c r="Q6" s="181">
        <v>0</v>
      </c>
      <c r="R6" s="181">
        <v>1</v>
      </c>
      <c r="S6" s="181">
        <v>1</v>
      </c>
      <c r="T6" s="180"/>
      <c r="U6" s="181"/>
      <c r="V6" s="181"/>
      <c r="W6" s="181"/>
      <c r="X6" s="250"/>
      <c r="Y6" s="251"/>
      <c r="Z6" s="251"/>
      <c r="AA6" s="252"/>
    </row>
    <row r="7" spans="1:27" s="14" customFormat="1" ht="20.100000000000001" customHeight="1" x14ac:dyDescent="0.15">
      <c r="A7" s="368"/>
      <c r="B7" s="354"/>
      <c r="C7" s="190" t="s">
        <v>121</v>
      </c>
      <c r="D7" s="191">
        <v>4</v>
      </c>
      <c r="E7" s="192">
        <f>SUM(I7,M7,Q7,U7,Y7)</f>
        <v>21</v>
      </c>
      <c r="F7" s="192">
        <f>SUM(J7,N7,R7,V7,Z7)</f>
        <v>39</v>
      </c>
      <c r="G7" s="192">
        <f>SUM(K7,O7,S7,W7,AA7)</f>
        <v>39</v>
      </c>
      <c r="H7" s="182"/>
      <c r="I7" s="183"/>
      <c r="J7" s="183"/>
      <c r="K7" s="183"/>
      <c r="L7" s="182"/>
      <c r="M7" s="183"/>
      <c r="N7" s="183"/>
      <c r="O7" s="183"/>
      <c r="P7" s="182">
        <v>44378</v>
      </c>
      <c r="Q7" s="183">
        <v>20</v>
      </c>
      <c r="R7" s="183">
        <v>20</v>
      </c>
      <c r="S7" s="183">
        <v>20</v>
      </c>
      <c r="T7" s="182">
        <v>44491</v>
      </c>
      <c r="U7" s="183">
        <v>1</v>
      </c>
      <c r="V7" s="183">
        <v>19</v>
      </c>
      <c r="W7" s="183">
        <v>19</v>
      </c>
      <c r="X7" s="253"/>
      <c r="Y7" s="254"/>
      <c r="Z7" s="254"/>
      <c r="AA7" s="255"/>
    </row>
    <row r="8" spans="1:27" s="14" customFormat="1" ht="20.100000000000001" customHeight="1" x14ac:dyDescent="0.15">
      <c r="A8" s="368"/>
      <c r="B8" s="354"/>
      <c r="C8" s="190" t="s">
        <v>146</v>
      </c>
      <c r="D8" s="190">
        <v>4</v>
      </c>
      <c r="E8" s="192">
        <f t="shared" ref="E8:E71" si="1">SUM(I8,M8,Q8,U8,Y8)</f>
        <v>27</v>
      </c>
      <c r="F8" s="192">
        <f t="shared" ref="F8:F71" si="2">SUM(J8,N8,R8,V8,Z8)</f>
        <v>61</v>
      </c>
      <c r="G8" s="192">
        <f t="shared" ref="G8:G71" si="3">SUM(K8,O8,S8,W8,AA8)</f>
        <v>61</v>
      </c>
      <c r="H8" s="182">
        <v>44270</v>
      </c>
      <c r="I8" s="183">
        <v>13</v>
      </c>
      <c r="J8" s="183">
        <v>13</v>
      </c>
      <c r="K8" s="183">
        <v>13</v>
      </c>
      <c r="L8" s="182">
        <v>44334</v>
      </c>
      <c r="M8" s="183">
        <v>13</v>
      </c>
      <c r="N8" s="183">
        <v>19</v>
      </c>
      <c r="O8" s="183">
        <v>19</v>
      </c>
      <c r="P8" s="182">
        <v>44396</v>
      </c>
      <c r="Q8" s="183">
        <v>0</v>
      </c>
      <c r="R8" s="183">
        <v>15</v>
      </c>
      <c r="S8" s="183">
        <v>15</v>
      </c>
      <c r="T8" s="182">
        <v>44498</v>
      </c>
      <c r="U8" s="183">
        <v>1</v>
      </c>
      <c r="V8" s="183">
        <v>14</v>
      </c>
      <c r="W8" s="183">
        <v>14</v>
      </c>
      <c r="X8" s="253"/>
      <c r="Y8" s="254"/>
      <c r="Z8" s="254"/>
      <c r="AA8" s="255"/>
    </row>
    <row r="9" spans="1:27" s="14" customFormat="1" ht="20.100000000000001" customHeight="1" x14ac:dyDescent="0.15">
      <c r="A9" s="368"/>
      <c r="B9" s="190" t="s">
        <v>52</v>
      </c>
      <c r="C9" s="190" t="s">
        <v>238</v>
      </c>
      <c r="D9" s="190">
        <v>3</v>
      </c>
      <c r="E9" s="192">
        <f t="shared" si="1"/>
        <v>6</v>
      </c>
      <c r="F9" s="192">
        <f t="shared" si="2"/>
        <v>9</v>
      </c>
      <c r="G9" s="192">
        <f t="shared" si="3"/>
        <v>9</v>
      </c>
      <c r="H9" s="182">
        <v>44291</v>
      </c>
      <c r="I9" s="183">
        <v>3</v>
      </c>
      <c r="J9" s="183">
        <v>3</v>
      </c>
      <c r="K9" s="183">
        <v>3</v>
      </c>
      <c r="L9" s="182">
        <v>44364</v>
      </c>
      <c r="M9" s="183">
        <v>3</v>
      </c>
      <c r="N9" s="183">
        <v>3</v>
      </c>
      <c r="O9" s="183">
        <v>3</v>
      </c>
      <c r="P9" s="182"/>
      <c r="Q9" s="183"/>
      <c r="R9" s="183"/>
      <c r="S9" s="183"/>
      <c r="T9" s="182">
        <v>44551</v>
      </c>
      <c r="U9" s="183">
        <v>0</v>
      </c>
      <c r="V9" s="183">
        <v>3</v>
      </c>
      <c r="W9" s="183">
        <v>3</v>
      </c>
      <c r="X9" s="253"/>
      <c r="Y9" s="254"/>
      <c r="Z9" s="254"/>
      <c r="AA9" s="255"/>
    </row>
    <row r="10" spans="1:27" s="14" customFormat="1" ht="20.100000000000001" customHeight="1" x14ac:dyDescent="0.15">
      <c r="A10" s="368"/>
      <c r="B10" s="354" t="s">
        <v>47</v>
      </c>
      <c r="C10" s="190" t="s">
        <v>86</v>
      </c>
      <c r="D10" s="190">
        <v>2</v>
      </c>
      <c r="E10" s="192">
        <f t="shared" si="1"/>
        <v>7</v>
      </c>
      <c r="F10" s="192">
        <f t="shared" si="2"/>
        <v>14</v>
      </c>
      <c r="G10" s="192">
        <f t="shared" si="3"/>
        <v>14</v>
      </c>
      <c r="H10" s="182">
        <v>44291</v>
      </c>
      <c r="I10" s="183">
        <v>7</v>
      </c>
      <c r="J10" s="183">
        <v>7</v>
      </c>
      <c r="K10" s="183">
        <v>7</v>
      </c>
      <c r="L10" s="182">
        <v>44357</v>
      </c>
      <c r="M10" s="183">
        <v>0</v>
      </c>
      <c r="N10" s="183">
        <v>7</v>
      </c>
      <c r="O10" s="183">
        <v>7</v>
      </c>
      <c r="P10" s="182"/>
      <c r="Q10" s="183"/>
      <c r="R10" s="183"/>
      <c r="S10" s="183"/>
      <c r="T10" s="182"/>
      <c r="U10" s="183"/>
      <c r="V10" s="183"/>
      <c r="W10" s="183"/>
      <c r="X10" s="253"/>
      <c r="Y10" s="254"/>
      <c r="Z10" s="254"/>
      <c r="AA10" s="255"/>
    </row>
    <row r="11" spans="1:27" s="14" customFormat="1" ht="20.100000000000001" customHeight="1" x14ac:dyDescent="0.15">
      <c r="A11" s="368"/>
      <c r="B11" s="354"/>
      <c r="C11" s="190" t="s">
        <v>114</v>
      </c>
      <c r="D11" s="190">
        <v>4</v>
      </c>
      <c r="E11" s="192">
        <f t="shared" si="1"/>
        <v>14</v>
      </c>
      <c r="F11" s="192">
        <f t="shared" si="2"/>
        <v>34</v>
      </c>
      <c r="G11" s="192">
        <f t="shared" si="3"/>
        <v>34</v>
      </c>
      <c r="H11" s="182">
        <v>44267</v>
      </c>
      <c r="I11" s="183">
        <v>10</v>
      </c>
      <c r="J11" s="183">
        <v>10</v>
      </c>
      <c r="K11" s="183">
        <v>10</v>
      </c>
      <c r="L11" s="182">
        <v>44336</v>
      </c>
      <c r="M11" s="183">
        <v>4</v>
      </c>
      <c r="N11" s="183">
        <v>7</v>
      </c>
      <c r="O11" s="183">
        <v>7</v>
      </c>
      <c r="P11" s="182">
        <v>44392</v>
      </c>
      <c r="Q11" s="183">
        <v>0</v>
      </c>
      <c r="R11" s="183">
        <v>7</v>
      </c>
      <c r="S11" s="183">
        <v>7</v>
      </c>
      <c r="T11" s="182">
        <v>44491</v>
      </c>
      <c r="U11" s="183">
        <v>0</v>
      </c>
      <c r="V11" s="183">
        <v>10</v>
      </c>
      <c r="W11" s="183">
        <v>10</v>
      </c>
      <c r="X11" s="253"/>
      <c r="Y11" s="254"/>
      <c r="Z11" s="254"/>
      <c r="AA11" s="255"/>
    </row>
    <row r="12" spans="1:27" s="14" customFormat="1" ht="20.100000000000001" customHeight="1" x14ac:dyDescent="0.15">
      <c r="A12" s="368"/>
      <c r="B12" s="354"/>
      <c r="C12" s="190" t="s">
        <v>139</v>
      </c>
      <c r="D12" s="190">
        <v>3</v>
      </c>
      <c r="E12" s="192">
        <f t="shared" si="1"/>
        <v>8</v>
      </c>
      <c r="F12" s="192">
        <f t="shared" si="2"/>
        <v>11</v>
      </c>
      <c r="G12" s="192">
        <f t="shared" si="3"/>
        <v>11</v>
      </c>
      <c r="H12" s="182">
        <v>44267</v>
      </c>
      <c r="I12" s="183">
        <v>3</v>
      </c>
      <c r="J12" s="183">
        <v>3</v>
      </c>
      <c r="K12" s="183">
        <v>3</v>
      </c>
      <c r="L12" s="182">
        <v>44342</v>
      </c>
      <c r="M12" s="183">
        <v>3</v>
      </c>
      <c r="N12" s="183">
        <v>3</v>
      </c>
      <c r="O12" s="183">
        <v>3</v>
      </c>
      <c r="P12" s="182">
        <v>44477</v>
      </c>
      <c r="Q12" s="183">
        <v>2</v>
      </c>
      <c r="R12" s="183">
        <v>5</v>
      </c>
      <c r="S12" s="183">
        <v>5</v>
      </c>
      <c r="T12" s="182"/>
      <c r="U12" s="183"/>
      <c r="V12" s="183"/>
      <c r="W12" s="183"/>
      <c r="X12" s="253"/>
      <c r="Y12" s="254"/>
      <c r="Z12" s="254"/>
      <c r="AA12" s="255"/>
    </row>
    <row r="13" spans="1:27" s="14" customFormat="1" ht="20.100000000000001" customHeight="1" x14ac:dyDescent="0.15">
      <c r="A13" s="368"/>
      <c r="B13" s="354"/>
      <c r="C13" s="190" t="s">
        <v>126</v>
      </c>
      <c r="D13" s="190">
        <v>4</v>
      </c>
      <c r="E13" s="192">
        <f t="shared" si="1"/>
        <v>6</v>
      </c>
      <c r="F13" s="192">
        <f t="shared" si="2"/>
        <v>27</v>
      </c>
      <c r="G13" s="192">
        <f t="shared" si="3"/>
        <v>27</v>
      </c>
      <c r="H13" s="182">
        <v>44291</v>
      </c>
      <c r="I13" s="183">
        <v>3</v>
      </c>
      <c r="J13" s="183">
        <v>3</v>
      </c>
      <c r="K13" s="183">
        <v>3</v>
      </c>
      <c r="L13" s="182">
        <v>44357</v>
      </c>
      <c r="M13" s="183">
        <v>2</v>
      </c>
      <c r="N13" s="183">
        <v>8</v>
      </c>
      <c r="O13" s="183">
        <v>8</v>
      </c>
      <c r="P13" s="182">
        <v>44477</v>
      </c>
      <c r="Q13" s="183">
        <v>1</v>
      </c>
      <c r="R13" s="183">
        <v>8</v>
      </c>
      <c r="S13" s="183">
        <v>8</v>
      </c>
      <c r="T13" s="182">
        <v>44539</v>
      </c>
      <c r="U13" s="183">
        <v>0</v>
      </c>
      <c r="V13" s="183">
        <v>8</v>
      </c>
      <c r="W13" s="183">
        <v>8</v>
      </c>
      <c r="X13" s="253"/>
      <c r="Y13" s="254"/>
      <c r="Z13" s="254"/>
      <c r="AA13" s="255"/>
    </row>
    <row r="14" spans="1:27" s="14" customFormat="1" ht="20.100000000000001" customHeight="1" x14ac:dyDescent="0.15">
      <c r="A14" s="368"/>
      <c r="B14" s="354"/>
      <c r="C14" s="190" t="s">
        <v>48</v>
      </c>
      <c r="D14" s="190">
        <v>4</v>
      </c>
      <c r="E14" s="192">
        <f t="shared" si="1"/>
        <v>24</v>
      </c>
      <c r="F14" s="192">
        <f t="shared" si="2"/>
        <v>41</v>
      </c>
      <c r="G14" s="192">
        <f t="shared" si="3"/>
        <v>41</v>
      </c>
      <c r="H14" s="182">
        <v>44280</v>
      </c>
      <c r="I14" s="183">
        <v>24</v>
      </c>
      <c r="J14" s="183">
        <v>24</v>
      </c>
      <c r="K14" s="183">
        <v>24</v>
      </c>
      <c r="L14" s="182">
        <v>44342</v>
      </c>
      <c r="M14" s="183">
        <v>0</v>
      </c>
      <c r="N14" s="183">
        <v>3</v>
      </c>
      <c r="O14" s="183">
        <v>3</v>
      </c>
      <c r="P14" s="182">
        <v>44463</v>
      </c>
      <c r="Q14" s="183">
        <v>0</v>
      </c>
      <c r="R14" s="183">
        <v>12</v>
      </c>
      <c r="S14" s="183">
        <v>12</v>
      </c>
      <c r="T14" s="182">
        <v>44537</v>
      </c>
      <c r="U14" s="183">
        <v>0</v>
      </c>
      <c r="V14" s="183">
        <v>2</v>
      </c>
      <c r="W14" s="183">
        <v>2</v>
      </c>
      <c r="X14" s="253"/>
      <c r="Y14" s="254"/>
      <c r="Z14" s="254"/>
      <c r="AA14" s="255"/>
    </row>
    <row r="15" spans="1:27" s="14" customFormat="1" ht="20.100000000000001" customHeight="1" x14ac:dyDescent="0.15">
      <c r="A15" s="368"/>
      <c r="B15" s="354"/>
      <c r="C15" s="190" t="s">
        <v>145</v>
      </c>
      <c r="D15" s="190">
        <v>4</v>
      </c>
      <c r="E15" s="192">
        <f t="shared" si="1"/>
        <v>22</v>
      </c>
      <c r="F15" s="192">
        <f t="shared" si="2"/>
        <v>46</v>
      </c>
      <c r="G15" s="192">
        <f t="shared" si="3"/>
        <v>46</v>
      </c>
      <c r="H15" s="182">
        <v>44280</v>
      </c>
      <c r="I15" s="183">
        <v>6</v>
      </c>
      <c r="J15" s="183">
        <v>6</v>
      </c>
      <c r="K15" s="183">
        <v>6</v>
      </c>
      <c r="L15" s="182">
        <v>44347</v>
      </c>
      <c r="M15" s="183">
        <v>16</v>
      </c>
      <c r="N15" s="183">
        <v>18</v>
      </c>
      <c r="O15" s="183">
        <v>18</v>
      </c>
      <c r="P15" s="182">
        <v>44463</v>
      </c>
      <c r="Q15" s="183">
        <v>0</v>
      </c>
      <c r="R15" s="183">
        <v>10</v>
      </c>
      <c r="S15" s="183">
        <v>10</v>
      </c>
      <c r="T15" s="182">
        <v>44537</v>
      </c>
      <c r="U15" s="183">
        <v>0</v>
      </c>
      <c r="V15" s="183">
        <v>12</v>
      </c>
      <c r="W15" s="183">
        <v>12</v>
      </c>
      <c r="X15" s="253"/>
      <c r="Y15" s="254"/>
      <c r="Z15" s="254"/>
      <c r="AA15" s="255"/>
    </row>
    <row r="16" spans="1:27" s="14" customFormat="1" ht="20.100000000000001" customHeight="1" x14ac:dyDescent="0.15">
      <c r="A16" s="368"/>
      <c r="B16" s="354" t="s">
        <v>89</v>
      </c>
      <c r="C16" s="193" t="s">
        <v>214</v>
      </c>
      <c r="D16" s="190">
        <v>4</v>
      </c>
      <c r="E16" s="192">
        <f t="shared" si="1"/>
        <v>12</v>
      </c>
      <c r="F16" s="192">
        <f t="shared" si="2"/>
        <v>18</v>
      </c>
      <c r="G16" s="192">
        <f t="shared" si="3"/>
        <v>18</v>
      </c>
      <c r="H16" s="182">
        <v>44270</v>
      </c>
      <c r="I16" s="183">
        <v>10</v>
      </c>
      <c r="J16" s="183">
        <v>10</v>
      </c>
      <c r="K16" s="183">
        <v>10</v>
      </c>
      <c r="L16" s="182">
        <v>44370</v>
      </c>
      <c r="M16" s="183">
        <v>2</v>
      </c>
      <c r="N16" s="183">
        <v>4</v>
      </c>
      <c r="O16" s="183">
        <v>4</v>
      </c>
      <c r="P16" s="182">
        <v>44490</v>
      </c>
      <c r="Q16" s="183">
        <v>0</v>
      </c>
      <c r="R16" s="183">
        <v>1</v>
      </c>
      <c r="S16" s="183">
        <v>1</v>
      </c>
      <c r="T16" s="182">
        <v>44529</v>
      </c>
      <c r="U16" s="183">
        <v>0</v>
      </c>
      <c r="V16" s="183">
        <v>3</v>
      </c>
      <c r="W16" s="183">
        <v>3</v>
      </c>
      <c r="X16" s="253"/>
      <c r="Y16" s="254"/>
      <c r="Z16" s="254"/>
      <c r="AA16" s="255"/>
    </row>
    <row r="17" spans="1:27" s="14" customFormat="1" ht="20.100000000000001" customHeight="1" x14ac:dyDescent="0.15">
      <c r="A17" s="368"/>
      <c r="B17" s="354"/>
      <c r="C17" s="193" t="s">
        <v>201</v>
      </c>
      <c r="D17" s="190">
        <v>4</v>
      </c>
      <c r="E17" s="192">
        <f t="shared" si="1"/>
        <v>13</v>
      </c>
      <c r="F17" s="192">
        <f t="shared" si="2"/>
        <v>24</v>
      </c>
      <c r="G17" s="192">
        <f t="shared" si="3"/>
        <v>24</v>
      </c>
      <c r="H17" s="182">
        <v>44270</v>
      </c>
      <c r="I17" s="183">
        <v>13</v>
      </c>
      <c r="J17" s="183">
        <v>13</v>
      </c>
      <c r="K17" s="183">
        <v>13</v>
      </c>
      <c r="L17" s="182">
        <v>44370</v>
      </c>
      <c r="M17" s="183">
        <v>0</v>
      </c>
      <c r="N17" s="183">
        <v>3</v>
      </c>
      <c r="O17" s="183">
        <v>3</v>
      </c>
      <c r="P17" s="182">
        <v>44490</v>
      </c>
      <c r="Q17" s="183">
        <v>0</v>
      </c>
      <c r="R17" s="183">
        <v>4</v>
      </c>
      <c r="S17" s="183">
        <v>4</v>
      </c>
      <c r="T17" s="182">
        <v>44529</v>
      </c>
      <c r="U17" s="183">
        <v>0</v>
      </c>
      <c r="V17" s="183">
        <v>4</v>
      </c>
      <c r="W17" s="183">
        <v>4</v>
      </c>
      <c r="X17" s="253"/>
      <c r="Y17" s="254"/>
      <c r="Z17" s="254"/>
      <c r="AA17" s="255"/>
    </row>
    <row r="18" spans="1:27" s="14" customFormat="1" ht="20.100000000000001" customHeight="1" x14ac:dyDescent="0.15">
      <c r="A18" s="368"/>
      <c r="B18" s="354" t="s">
        <v>97</v>
      </c>
      <c r="C18" s="190" t="s">
        <v>21</v>
      </c>
      <c r="D18" s="190">
        <v>3</v>
      </c>
      <c r="E18" s="192">
        <f t="shared" si="1"/>
        <v>6</v>
      </c>
      <c r="F18" s="192">
        <f t="shared" si="2"/>
        <v>12</v>
      </c>
      <c r="G18" s="192">
        <f t="shared" si="3"/>
        <v>12</v>
      </c>
      <c r="H18" s="182">
        <v>44294</v>
      </c>
      <c r="I18" s="183">
        <v>3</v>
      </c>
      <c r="J18" s="183">
        <v>3</v>
      </c>
      <c r="K18" s="183">
        <v>3</v>
      </c>
      <c r="L18" s="182">
        <v>44371</v>
      </c>
      <c r="M18" s="183">
        <v>3</v>
      </c>
      <c r="N18" s="183">
        <v>5</v>
      </c>
      <c r="O18" s="183">
        <v>5</v>
      </c>
      <c r="P18" s="182"/>
      <c r="Q18" s="183"/>
      <c r="R18" s="183"/>
      <c r="S18" s="183"/>
      <c r="T18" s="182">
        <v>44495</v>
      </c>
      <c r="U18" s="183">
        <v>0</v>
      </c>
      <c r="V18" s="183">
        <v>4</v>
      </c>
      <c r="W18" s="183">
        <v>4</v>
      </c>
      <c r="X18" s="253"/>
      <c r="Y18" s="254"/>
      <c r="Z18" s="254"/>
      <c r="AA18" s="255"/>
    </row>
    <row r="19" spans="1:27" s="14" customFormat="1" ht="20.100000000000001" customHeight="1" x14ac:dyDescent="0.15">
      <c r="A19" s="368"/>
      <c r="B19" s="354"/>
      <c r="C19" s="190" t="s">
        <v>35</v>
      </c>
      <c r="D19" s="190">
        <v>4</v>
      </c>
      <c r="E19" s="192">
        <f t="shared" si="1"/>
        <v>17</v>
      </c>
      <c r="F19" s="192">
        <f t="shared" si="2"/>
        <v>33</v>
      </c>
      <c r="G19" s="192">
        <f t="shared" si="3"/>
        <v>33</v>
      </c>
      <c r="H19" s="182">
        <v>44252</v>
      </c>
      <c r="I19" s="183">
        <v>8</v>
      </c>
      <c r="J19" s="183">
        <v>8</v>
      </c>
      <c r="K19" s="183">
        <v>8</v>
      </c>
      <c r="L19" s="182">
        <v>44314</v>
      </c>
      <c r="M19" s="183">
        <v>4</v>
      </c>
      <c r="N19" s="183">
        <v>5</v>
      </c>
      <c r="O19" s="183">
        <v>5</v>
      </c>
      <c r="P19" s="182">
        <v>44384</v>
      </c>
      <c r="Q19" s="183">
        <v>5</v>
      </c>
      <c r="R19" s="183">
        <v>11</v>
      </c>
      <c r="S19" s="183">
        <v>11</v>
      </c>
      <c r="T19" s="182">
        <v>44496</v>
      </c>
      <c r="U19" s="183">
        <v>0</v>
      </c>
      <c r="V19" s="183">
        <v>9</v>
      </c>
      <c r="W19" s="183">
        <v>9</v>
      </c>
      <c r="X19" s="253"/>
      <c r="Y19" s="254"/>
      <c r="Z19" s="254"/>
      <c r="AA19" s="255"/>
    </row>
    <row r="20" spans="1:27" s="14" customFormat="1" ht="20.100000000000001" customHeight="1" x14ac:dyDescent="0.15">
      <c r="A20" s="368"/>
      <c r="B20" s="354"/>
      <c r="C20" s="190" t="s">
        <v>4</v>
      </c>
      <c r="D20" s="190">
        <v>4</v>
      </c>
      <c r="E20" s="192">
        <f t="shared" si="1"/>
        <v>11</v>
      </c>
      <c r="F20" s="192">
        <f t="shared" si="2"/>
        <v>21</v>
      </c>
      <c r="G20" s="192">
        <f t="shared" si="3"/>
        <v>21</v>
      </c>
      <c r="H20" s="182">
        <v>44252</v>
      </c>
      <c r="I20" s="183">
        <v>3</v>
      </c>
      <c r="J20" s="183">
        <v>3</v>
      </c>
      <c r="K20" s="183">
        <v>3</v>
      </c>
      <c r="L20" s="182">
        <v>44308</v>
      </c>
      <c r="M20" s="183">
        <v>4</v>
      </c>
      <c r="N20" s="183">
        <v>6</v>
      </c>
      <c r="O20" s="183">
        <v>6</v>
      </c>
      <c r="P20" s="182">
        <v>44382</v>
      </c>
      <c r="Q20" s="183">
        <v>2</v>
      </c>
      <c r="R20" s="183">
        <v>5</v>
      </c>
      <c r="S20" s="183">
        <v>5</v>
      </c>
      <c r="T20" s="182">
        <v>44496</v>
      </c>
      <c r="U20" s="183">
        <v>2</v>
      </c>
      <c r="V20" s="183">
        <v>7</v>
      </c>
      <c r="W20" s="183">
        <v>7</v>
      </c>
      <c r="X20" s="253"/>
      <c r="Y20" s="254"/>
      <c r="Z20" s="254"/>
      <c r="AA20" s="255"/>
    </row>
    <row r="21" spans="1:27" s="14" customFormat="1" ht="20.100000000000001" customHeight="1" x14ac:dyDescent="0.15">
      <c r="A21" s="368"/>
      <c r="B21" s="354" t="s">
        <v>92</v>
      </c>
      <c r="C21" s="190" t="s">
        <v>23</v>
      </c>
      <c r="D21" s="190">
        <v>2</v>
      </c>
      <c r="E21" s="192">
        <f t="shared" si="1"/>
        <v>3</v>
      </c>
      <c r="F21" s="192">
        <f t="shared" si="2"/>
        <v>6</v>
      </c>
      <c r="G21" s="192">
        <f t="shared" si="3"/>
        <v>6</v>
      </c>
      <c r="H21" s="182"/>
      <c r="I21" s="183"/>
      <c r="J21" s="183"/>
      <c r="K21" s="183"/>
      <c r="L21" s="182">
        <v>44371</v>
      </c>
      <c r="M21" s="183">
        <v>3</v>
      </c>
      <c r="N21" s="183">
        <v>3</v>
      </c>
      <c r="O21" s="183">
        <v>3</v>
      </c>
      <c r="P21" s="182"/>
      <c r="Q21" s="183"/>
      <c r="R21" s="183"/>
      <c r="S21" s="183"/>
      <c r="T21" s="182">
        <v>44495</v>
      </c>
      <c r="U21" s="183">
        <v>0</v>
      </c>
      <c r="V21" s="183">
        <v>3</v>
      </c>
      <c r="W21" s="183">
        <v>3</v>
      </c>
      <c r="X21" s="253"/>
      <c r="Y21" s="254"/>
      <c r="Z21" s="254"/>
      <c r="AA21" s="255"/>
    </row>
    <row r="22" spans="1:27" s="14" customFormat="1" ht="20.100000000000001" customHeight="1" x14ac:dyDescent="0.15">
      <c r="A22" s="368"/>
      <c r="B22" s="354"/>
      <c r="C22" s="190" t="s">
        <v>124</v>
      </c>
      <c r="D22" s="190">
        <v>3</v>
      </c>
      <c r="E22" s="192">
        <f t="shared" si="1"/>
        <v>4</v>
      </c>
      <c r="F22" s="192">
        <f t="shared" si="2"/>
        <v>10</v>
      </c>
      <c r="G22" s="192">
        <f t="shared" si="3"/>
        <v>10</v>
      </c>
      <c r="H22" s="182"/>
      <c r="I22" s="183"/>
      <c r="J22" s="183"/>
      <c r="K22" s="183"/>
      <c r="L22" s="182">
        <v>44308</v>
      </c>
      <c r="M22" s="183">
        <v>2</v>
      </c>
      <c r="N22" s="183">
        <v>2</v>
      </c>
      <c r="O22" s="183">
        <v>2</v>
      </c>
      <c r="P22" s="182">
        <v>44377</v>
      </c>
      <c r="Q22" s="183">
        <v>2</v>
      </c>
      <c r="R22" s="183">
        <v>4</v>
      </c>
      <c r="S22" s="183">
        <v>4</v>
      </c>
      <c r="T22" s="182">
        <v>44496</v>
      </c>
      <c r="U22" s="183">
        <v>0</v>
      </c>
      <c r="V22" s="183">
        <v>4</v>
      </c>
      <c r="W22" s="183">
        <v>4</v>
      </c>
      <c r="X22" s="253"/>
      <c r="Y22" s="254"/>
      <c r="Z22" s="254"/>
      <c r="AA22" s="255"/>
    </row>
    <row r="23" spans="1:27" s="14" customFormat="1" ht="20.100000000000001" customHeight="1" x14ac:dyDescent="0.15">
      <c r="A23" s="368"/>
      <c r="B23" s="354"/>
      <c r="C23" s="190" t="s">
        <v>32</v>
      </c>
      <c r="D23" s="190"/>
      <c r="E23" s="192">
        <f t="shared" si="1"/>
        <v>0</v>
      </c>
      <c r="F23" s="192">
        <f t="shared" si="2"/>
        <v>0</v>
      </c>
      <c r="G23" s="192">
        <f t="shared" si="3"/>
        <v>0</v>
      </c>
      <c r="H23" s="182"/>
      <c r="I23" s="183"/>
      <c r="J23" s="183"/>
      <c r="K23" s="183"/>
      <c r="L23" s="182"/>
      <c r="M23" s="183"/>
      <c r="N23" s="183"/>
      <c r="O23" s="183"/>
      <c r="P23" s="182"/>
      <c r="Q23" s="183"/>
      <c r="R23" s="183"/>
      <c r="S23" s="183"/>
      <c r="T23" s="182"/>
      <c r="U23" s="183"/>
      <c r="V23" s="183"/>
      <c r="W23" s="183"/>
      <c r="X23" s="253"/>
      <c r="Y23" s="254"/>
      <c r="Z23" s="254"/>
      <c r="AA23" s="255"/>
    </row>
    <row r="24" spans="1:27" s="14" customFormat="1" ht="20.100000000000001" customHeight="1" x14ac:dyDescent="0.15">
      <c r="A24" s="372" t="s">
        <v>8</v>
      </c>
      <c r="B24" s="190" t="s">
        <v>59</v>
      </c>
      <c r="C24" s="190" t="s">
        <v>39</v>
      </c>
      <c r="D24" s="190">
        <v>2</v>
      </c>
      <c r="E24" s="192">
        <f t="shared" si="1"/>
        <v>1</v>
      </c>
      <c r="F24" s="192">
        <f t="shared" si="2"/>
        <v>2</v>
      </c>
      <c r="G24" s="192">
        <f t="shared" si="3"/>
        <v>2</v>
      </c>
      <c r="H24" s="182"/>
      <c r="I24" s="183"/>
      <c r="J24" s="183"/>
      <c r="K24" s="183"/>
      <c r="L24" s="182"/>
      <c r="M24" s="183"/>
      <c r="N24" s="183"/>
      <c r="O24" s="183"/>
      <c r="P24" s="182"/>
      <c r="Q24" s="183"/>
      <c r="R24" s="183"/>
      <c r="S24" s="183"/>
      <c r="T24" s="182">
        <v>44503</v>
      </c>
      <c r="U24" s="183">
        <v>1</v>
      </c>
      <c r="V24" s="183">
        <v>1</v>
      </c>
      <c r="W24" s="183">
        <v>1</v>
      </c>
      <c r="X24" s="253">
        <v>44554</v>
      </c>
      <c r="Y24" s="254">
        <v>0</v>
      </c>
      <c r="Z24" s="254">
        <v>1</v>
      </c>
      <c r="AA24" s="255">
        <v>1</v>
      </c>
    </row>
    <row r="25" spans="1:27" s="14" customFormat="1" ht="20.100000000000001" customHeight="1" x14ac:dyDescent="0.15">
      <c r="A25" s="373"/>
      <c r="B25" s="190" t="s">
        <v>102</v>
      </c>
      <c r="C25" s="190" t="s">
        <v>16</v>
      </c>
      <c r="D25" s="190">
        <v>1</v>
      </c>
      <c r="E25" s="192">
        <f t="shared" si="1"/>
        <v>14</v>
      </c>
      <c r="F25" s="192">
        <f t="shared" si="2"/>
        <v>14</v>
      </c>
      <c r="G25" s="192">
        <f t="shared" si="3"/>
        <v>14</v>
      </c>
      <c r="H25" s="182"/>
      <c r="I25" s="183"/>
      <c r="J25" s="183"/>
      <c r="K25" s="183"/>
      <c r="L25" s="182"/>
      <c r="M25" s="183"/>
      <c r="N25" s="183"/>
      <c r="O25" s="183"/>
      <c r="P25" s="182"/>
      <c r="Q25" s="183"/>
      <c r="R25" s="183"/>
      <c r="S25" s="183"/>
      <c r="T25" s="182">
        <v>44503</v>
      </c>
      <c r="U25" s="183">
        <v>14</v>
      </c>
      <c r="V25" s="183">
        <v>14</v>
      </c>
      <c r="W25" s="183">
        <v>14</v>
      </c>
      <c r="X25" s="253"/>
      <c r="Y25" s="254"/>
      <c r="Z25" s="254"/>
      <c r="AA25" s="255"/>
    </row>
    <row r="26" spans="1:27" s="14" customFormat="1" ht="20.100000000000001" customHeight="1" x14ac:dyDescent="0.15">
      <c r="A26" s="368" t="s">
        <v>8</v>
      </c>
      <c r="B26" s="354" t="s">
        <v>102</v>
      </c>
      <c r="C26" s="190" t="s">
        <v>45</v>
      </c>
      <c r="D26" s="190">
        <v>0</v>
      </c>
      <c r="E26" s="192">
        <f t="shared" si="1"/>
        <v>0</v>
      </c>
      <c r="F26" s="192">
        <f t="shared" si="2"/>
        <v>0</v>
      </c>
      <c r="G26" s="192">
        <f t="shared" si="3"/>
        <v>0</v>
      </c>
      <c r="H26" s="182"/>
      <c r="I26" s="183"/>
      <c r="J26" s="183"/>
      <c r="K26" s="183"/>
      <c r="L26" s="182"/>
      <c r="M26" s="183"/>
      <c r="N26" s="183"/>
      <c r="O26" s="183"/>
      <c r="P26" s="182"/>
      <c r="Q26" s="183"/>
      <c r="R26" s="183"/>
      <c r="S26" s="183"/>
      <c r="T26" s="182"/>
      <c r="U26" s="183"/>
      <c r="V26" s="183"/>
      <c r="W26" s="183"/>
      <c r="X26" s="253"/>
      <c r="Y26" s="254"/>
      <c r="Z26" s="254"/>
      <c r="AA26" s="255"/>
    </row>
    <row r="27" spans="1:27" s="14" customFormat="1" ht="20.100000000000001" customHeight="1" x14ac:dyDescent="0.15">
      <c r="A27" s="368"/>
      <c r="B27" s="354"/>
      <c r="C27" s="190" t="s">
        <v>113</v>
      </c>
      <c r="D27" s="190">
        <v>2</v>
      </c>
      <c r="E27" s="192">
        <f t="shared" si="1"/>
        <v>8</v>
      </c>
      <c r="F27" s="192">
        <f t="shared" si="2"/>
        <v>15</v>
      </c>
      <c r="G27" s="192">
        <f t="shared" si="3"/>
        <v>15</v>
      </c>
      <c r="H27" s="182"/>
      <c r="I27" s="183"/>
      <c r="J27" s="183"/>
      <c r="K27" s="183"/>
      <c r="L27" s="182"/>
      <c r="M27" s="183"/>
      <c r="N27" s="183"/>
      <c r="O27" s="183"/>
      <c r="P27" s="182">
        <v>44399</v>
      </c>
      <c r="Q27" s="183">
        <v>3</v>
      </c>
      <c r="R27" s="183">
        <v>5</v>
      </c>
      <c r="S27" s="183">
        <v>5</v>
      </c>
      <c r="T27" s="182">
        <v>44503</v>
      </c>
      <c r="U27" s="183">
        <v>5</v>
      </c>
      <c r="V27" s="183">
        <v>10</v>
      </c>
      <c r="W27" s="183">
        <v>10</v>
      </c>
      <c r="X27" s="253"/>
      <c r="Y27" s="254"/>
      <c r="Z27" s="254"/>
      <c r="AA27" s="255"/>
    </row>
    <row r="28" spans="1:27" s="14" customFormat="1" ht="20.100000000000001" customHeight="1" x14ac:dyDescent="0.15">
      <c r="A28" s="368" t="s">
        <v>84</v>
      </c>
      <c r="B28" s="354" t="s">
        <v>10</v>
      </c>
      <c r="C28" s="190" t="s">
        <v>138</v>
      </c>
      <c r="D28" s="190">
        <v>3</v>
      </c>
      <c r="E28" s="192">
        <f t="shared" si="1"/>
        <v>18</v>
      </c>
      <c r="F28" s="192">
        <f t="shared" si="2"/>
        <v>23</v>
      </c>
      <c r="G28" s="192">
        <f t="shared" si="3"/>
        <v>23</v>
      </c>
      <c r="H28" s="182">
        <v>44260</v>
      </c>
      <c r="I28" s="183">
        <v>11</v>
      </c>
      <c r="J28" s="183">
        <v>11</v>
      </c>
      <c r="K28" s="183">
        <v>11</v>
      </c>
      <c r="L28" s="182">
        <v>44328</v>
      </c>
      <c r="M28" s="183">
        <v>7</v>
      </c>
      <c r="N28" s="183">
        <v>7</v>
      </c>
      <c r="O28" s="183">
        <v>7</v>
      </c>
      <c r="P28" s="182"/>
      <c r="Q28" s="183"/>
      <c r="R28" s="183"/>
      <c r="S28" s="183"/>
      <c r="T28" s="182">
        <v>44533</v>
      </c>
      <c r="U28" s="183">
        <v>0</v>
      </c>
      <c r="V28" s="183">
        <v>5</v>
      </c>
      <c r="W28" s="183">
        <v>5</v>
      </c>
      <c r="X28" s="253"/>
      <c r="Y28" s="254"/>
      <c r="Z28" s="254"/>
      <c r="AA28" s="255"/>
    </row>
    <row r="29" spans="1:27" s="14" customFormat="1" ht="20.100000000000001" customHeight="1" x14ac:dyDescent="0.15">
      <c r="A29" s="368"/>
      <c r="B29" s="354"/>
      <c r="C29" s="190" t="s">
        <v>77</v>
      </c>
      <c r="D29" s="190">
        <v>2</v>
      </c>
      <c r="E29" s="192">
        <f t="shared" si="1"/>
        <v>1</v>
      </c>
      <c r="F29" s="192">
        <f t="shared" si="2"/>
        <v>2</v>
      </c>
      <c r="G29" s="192">
        <f t="shared" si="3"/>
        <v>2</v>
      </c>
      <c r="H29" s="182"/>
      <c r="I29" s="183"/>
      <c r="J29" s="183"/>
      <c r="K29" s="183"/>
      <c r="L29" s="182"/>
      <c r="M29" s="183"/>
      <c r="N29" s="183"/>
      <c r="O29" s="183"/>
      <c r="P29" s="182">
        <v>44376</v>
      </c>
      <c r="Q29" s="183">
        <v>1</v>
      </c>
      <c r="R29" s="183">
        <v>1</v>
      </c>
      <c r="S29" s="183">
        <v>1</v>
      </c>
      <c r="T29" s="182">
        <v>44501</v>
      </c>
      <c r="U29" s="183">
        <v>0</v>
      </c>
      <c r="V29" s="183">
        <v>1</v>
      </c>
      <c r="W29" s="183">
        <v>1</v>
      </c>
      <c r="X29" s="253"/>
      <c r="Y29" s="254"/>
      <c r="Z29" s="254"/>
      <c r="AA29" s="255"/>
    </row>
    <row r="30" spans="1:27" s="14" customFormat="1" ht="20.100000000000001" customHeight="1" x14ac:dyDescent="0.15">
      <c r="A30" s="368"/>
      <c r="B30" s="354"/>
      <c r="C30" s="190" t="s">
        <v>76</v>
      </c>
      <c r="D30" s="190">
        <v>3</v>
      </c>
      <c r="E30" s="192">
        <f t="shared" si="1"/>
        <v>18</v>
      </c>
      <c r="F30" s="192">
        <f t="shared" si="2"/>
        <v>22</v>
      </c>
      <c r="G30" s="192">
        <f t="shared" si="3"/>
        <v>22</v>
      </c>
      <c r="H30" s="182">
        <v>44292</v>
      </c>
      <c r="I30" s="183">
        <v>15</v>
      </c>
      <c r="J30" s="183">
        <v>15</v>
      </c>
      <c r="K30" s="183">
        <v>15</v>
      </c>
      <c r="L30" s="182"/>
      <c r="M30" s="183"/>
      <c r="N30" s="183"/>
      <c r="O30" s="183"/>
      <c r="P30" s="182">
        <v>44376</v>
      </c>
      <c r="Q30" s="183">
        <v>1</v>
      </c>
      <c r="R30" s="183">
        <v>3</v>
      </c>
      <c r="S30" s="183">
        <v>3</v>
      </c>
      <c r="T30" s="182">
        <v>44501</v>
      </c>
      <c r="U30" s="183">
        <v>2</v>
      </c>
      <c r="V30" s="183">
        <v>4</v>
      </c>
      <c r="W30" s="183">
        <v>4</v>
      </c>
      <c r="X30" s="253"/>
      <c r="Y30" s="254"/>
      <c r="Z30" s="254"/>
      <c r="AA30" s="255"/>
    </row>
    <row r="31" spans="1:27" s="14" customFormat="1" ht="20.100000000000001" customHeight="1" x14ac:dyDescent="0.15">
      <c r="A31" s="368"/>
      <c r="B31" s="190" t="s">
        <v>104</v>
      </c>
      <c r="C31" s="190" t="s">
        <v>67</v>
      </c>
      <c r="D31" s="190">
        <v>4</v>
      </c>
      <c r="E31" s="192">
        <f t="shared" si="1"/>
        <v>5</v>
      </c>
      <c r="F31" s="192">
        <f t="shared" si="2"/>
        <v>20</v>
      </c>
      <c r="G31" s="192">
        <f t="shared" si="3"/>
        <v>20</v>
      </c>
      <c r="H31" s="182">
        <v>44288</v>
      </c>
      <c r="I31" s="183">
        <v>5</v>
      </c>
      <c r="J31" s="183">
        <v>5</v>
      </c>
      <c r="K31" s="183">
        <v>5</v>
      </c>
      <c r="L31" s="182">
        <v>44368</v>
      </c>
      <c r="M31" s="183">
        <v>0</v>
      </c>
      <c r="N31" s="183">
        <v>5</v>
      </c>
      <c r="O31" s="183">
        <v>5</v>
      </c>
      <c r="P31" s="182">
        <v>44475</v>
      </c>
      <c r="Q31" s="183">
        <v>0</v>
      </c>
      <c r="R31" s="183">
        <v>5</v>
      </c>
      <c r="S31" s="183">
        <v>5</v>
      </c>
      <c r="T31" s="182">
        <v>44544</v>
      </c>
      <c r="U31" s="183">
        <v>0</v>
      </c>
      <c r="V31" s="183">
        <v>5</v>
      </c>
      <c r="W31" s="183">
        <v>5</v>
      </c>
      <c r="X31" s="253"/>
      <c r="Y31" s="254"/>
      <c r="Z31" s="254"/>
      <c r="AA31" s="255"/>
    </row>
    <row r="32" spans="1:27" s="14" customFormat="1" ht="20.100000000000001" customHeight="1" x14ac:dyDescent="0.15">
      <c r="A32" s="368"/>
      <c r="B32" s="354" t="s">
        <v>50</v>
      </c>
      <c r="C32" s="190" t="s">
        <v>33</v>
      </c>
      <c r="D32" s="190">
        <v>4</v>
      </c>
      <c r="E32" s="192">
        <f t="shared" si="1"/>
        <v>8</v>
      </c>
      <c r="F32" s="192">
        <f t="shared" si="2"/>
        <v>22</v>
      </c>
      <c r="G32" s="192">
        <f t="shared" si="3"/>
        <v>22</v>
      </c>
      <c r="H32" s="182">
        <v>44266</v>
      </c>
      <c r="I32" s="183">
        <v>7</v>
      </c>
      <c r="J32" s="183">
        <v>7</v>
      </c>
      <c r="K32" s="183">
        <v>7</v>
      </c>
      <c r="L32" s="182">
        <v>44333</v>
      </c>
      <c r="M32" s="183">
        <v>1</v>
      </c>
      <c r="N32" s="183">
        <v>3</v>
      </c>
      <c r="O32" s="183">
        <v>3</v>
      </c>
      <c r="P32" s="182">
        <v>44462</v>
      </c>
      <c r="Q32" s="183">
        <v>0</v>
      </c>
      <c r="R32" s="183">
        <v>8</v>
      </c>
      <c r="S32" s="183">
        <v>8</v>
      </c>
      <c r="T32" s="182">
        <v>44517</v>
      </c>
      <c r="U32" s="183">
        <v>0</v>
      </c>
      <c r="V32" s="183">
        <v>4</v>
      </c>
      <c r="W32" s="183">
        <v>4</v>
      </c>
      <c r="X32" s="253"/>
      <c r="Y32" s="254"/>
      <c r="Z32" s="254"/>
      <c r="AA32" s="255"/>
    </row>
    <row r="33" spans="1:27" s="14" customFormat="1" ht="20.100000000000001" customHeight="1" x14ac:dyDescent="0.15">
      <c r="A33" s="368"/>
      <c r="B33" s="354"/>
      <c r="C33" s="190" t="s">
        <v>207</v>
      </c>
      <c r="D33" s="190">
        <v>4</v>
      </c>
      <c r="E33" s="192">
        <f t="shared" si="1"/>
        <v>6</v>
      </c>
      <c r="F33" s="192">
        <f t="shared" si="2"/>
        <v>19</v>
      </c>
      <c r="G33" s="192">
        <f t="shared" si="3"/>
        <v>19</v>
      </c>
      <c r="H33" s="182">
        <v>44266</v>
      </c>
      <c r="I33" s="183">
        <v>2</v>
      </c>
      <c r="J33" s="183">
        <v>2</v>
      </c>
      <c r="K33" s="183">
        <v>2</v>
      </c>
      <c r="L33" s="182">
        <v>44333</v>
      </c>
      <c r="M33" s="183">
        <v>4</v>
      </c>
      <c r="N33" s="183">
        <v>4</v>
      </c>
      <c r="O33" s="183">
        <v>4</v>
      </c>
      <c r="P33" s="182">
        <v>44462</v>
      </c>
      <c r="Q33" s="183">
        <v>0</v>
      </c>
      <c r="R33" s="183">
        <v>8</v>
      </c>
      <c r="S33" s="183">
        <v>8</v>
      </c>
      <c r="T33" s="182">
        <v>44517</v>
      </c>
      <c r="U33" s="183">
        <v>0</v>
      </c>
      <c r="V33" s="183">
        <v>5</v>
      </c>
      <c r="W33" s="183">
        <v>5</v>
      </c>
      <c r="X33" s="253"/>
      <c r="Y33" s="254"/>
      <c r="Z33" s="254"/>
      <c r="AA33" s="255"/>
    </row>
    <row r="34" spans="1:27" s="14" customFormat="1" ht="20.100000000000001" customHeight="1" x14ac:dyDescent="0.15">
      <c r="A34" s="368"/>
      <c r="B34" s="354"/>
      <c r="C34" s="190" t="s">
        <v>196</v>
      </c>
      <c r="D34" s="190">
        <v>3</v>
      </c>
      <c r="E34" s="192">
        <f t="shared" si="1"/>
        <v>29</v>
      </c>
      <c r="F34" s="192">
        <f t="shared" si="2"/>
        <v>54</v>
      </c>
      <c r="G34" s="192">
        <f t="shared" si="3"/>
        <v>54</v>
      </c>
      <c r="H34" s="182">
        <v>44266</v>
      </c>
      <c r="I34" s="183">
        <v>11</v>
      </c>
      <c r="J34" s="183">
        <v>11</v>
      </c>
      <c r="K34" s="183">
        <v>11</v>
      </c>
      <c r="L34" s="182">
        <v>44347</v>
      </c>
      <c r="M34" s="183">
        <v>18</v>
      </c>
      <c r="N34" s="183">
        <v>24</v>
      </c>
      <c r="O34" s="183">
        <v>24</v>
      </c>
      <c r="P34" s="182">
        <v>44462</v>
      </c>
      <c r="Q34" s="183">
        <v>0</v>
      </c>
      <c r="R34" s="183">
        <v>19</v>
      </c>
      <c r="S34" s="183">
        <v>19</v>
      </c>
      <c r="T34" s="182"/>
      <c r="U34" s="183"/>
      <c r="V34" s="183"/>
      <c r="W34" s="183"/>
      <c r="X34" s="253"/>
      <c r="Y34" s="254"/>
      <c r="Z34" s="254"/>
      <c r="AA34" s="255"/>
    </row>
    <row r="35" spans="1:27" s="14" customFormat="1" ht="20.100000000000001" customHeight="1" x14ac:dyDescent="0.15">
      <c r="A35" s="368"/>
      <c r="B35" s="190" t="s">
        <v>18</v>
      </c>
      <c r="C35" s="190" t="s">
        <v>124</v>
      </c>
      <c r="D35" s="190">
        <v>2</v>
      </c>
      <c r="E35" s="192">
        <f t="shared" si="1"/>
        <v>2</v>
      </c>
      <c r="F35" s="192">
        <f t="shared" si="2"/>
        <v>4</v>
      </c>
      <c r="G35" s="192">
        <f t="shared" si="3"/>
        <v>4</v>
      </c>
      <c r="H35" s="182"/>
      <c r="I35" s="183"/>
      <c r="J35" s="183"/>
      <c r="K35" s="183"/>
      <c r="L35" s="182">
        <v>44358</v>
      </c>
      <c r="M35" s="183">
        <v>2</v>
      </c>
      <c r="N35" s="183">
        <v>2</v>
      </c>
      <c r="O35" s="183">
        <v>2</v>
      </c>
      <c r="P35" s="182">
        <v>44476</v>
      </c>
      <c r="Q35" s="183">
        <v>0</v>
      </c>
      <c r="R35" s="183">
        <v>2</v>
      </c>
      <c r="S35" s="183">
        <v>2</v>
      </c>
      <c r="T35" s="182"/>
      <c r="U35" s="183"/>
      <c r="V35" s="183"/>
      <c r="W35" s="183"/>
      <c r="X35" s="253"/>
      <c r="Y35" s="254"/>
      <c r="Z35" s="254"/>
      <c r="AA35" s="255"/>
    </row>
    <row r="36" spans="1:27" s="14" customFormat="1" ht="20.100000000000001" customHeight="1" x14ac:dyDescent="0.15">
      <c r="A36" s="194" t="s">
        <v>3</v>
      </c>
      <c r="B36" s="190" t="s">
        <v>49</v>
      </c>
      <c r="C36" s="190" t="s">
        <v>11</v>
      </c>
      <c r="D36" s="190">
        <v>2</v>
      </c>
      <c r="E36" s="192">
        <f t="shared" si="1"/>
        <v>25</v>
      </c>
      <c r="F36" s="192">
        <f t="shared" si="2"/>
        <v>31</v>
      </c>
      <c r="G36" s="192">
        <f t="shared" si="3"/>
        <v>31</v>
      </c>
      <c r="H36" s="182">
        <v>44258</v>
      </c>
      <c r="I36" s="183">
        <v>25</v>
      </c>
      <c r="J36" s="183">
        <v>25</v>
      </c>
      <c r="K36" s="183">
        <v>25</v>
      </c>
      <c r="L36" s="182"/>
      <c r="M36" s="183"/>
      <c r="N36" s="183"/>
      <c r="O36" s="183"/>
      <c r="P36" s="182"/>
      <c r="Q36" s="183"/>
      <c r="R36" s="183"/>
      <c r="S36" s="183"/>
      <c r="T36" s="182">
        <v>44501</v>
      </c>
      <c r="U36" s="183">
        <v>0</v>
      </c>
      <c r="V36" s="183">
        <v>6</v>
      </c>
      <c r="W36" s="183">
        <v>6</v>
      </c>
      <c r="X36" s="253"/>
      <c r="Y36" s="254"/>
      <c r="Z36" s="254"/>
      <c r="AA36" s="255"/>
    </row>
    <row r="37" spans="1:27" s="14" customFormat="1" ht="20.100000000000001" customHeight="1" x14ac:dyDescent="0.15">
      <c r="A37" s="368" t="s">
        <v>84</v>
      </c>
      <c r="B37" s="190" t="s">
        <v>123</v>
      </c>
      <c r="C37" s="190" t="s">
        <v>132</v>
      </c>
      <c r="D37" s="190">
        <v>3</v>
      </c>
      <c r="E37" s="192">
        <f t="shared" si="1"/>
        <v>26</v>
      </c>
      <c r="F37" s="192">
        <f t="shared" si="2"/>
        <v>42</v>
      </c>
      <c r="G37" s="192">
        <f t="shared" si="3"/>
        <v>42</v>
      </c>
      <c r="H37" s="182">
        <v>44284</v>
      </c>
      <c r="I37" s="183">
        <v>26</v>
      </c>
      <c r="J37" s="183">
        <v>26</v>
      </c>
      <c r="K37" s="183">
        <v>26</v>
      </c>
      <c r="L37" s="182">
        <v>44356</v>
      </c>
      <c r="M37" s="183">
        <v>0</v>
      </c>
      <c r="N37" s="183">
        <v>7</v>
      </c>
      <c r="O37" s="183">
        <v>7</v>
      </c>
      <c r="P37" s="182"/>
      <c r="Q37" s="183"/>
      <c r="R37" s="183"/>
      <c r="S37" s="183"/>
      <c r="T37" s="182">
        <v>44524</v>
      </c>
      <c r="U37" s="183">
        <v>0</v>
      </c>
      <c r="V37" s="183">
        <v>9</v>
      </c>
      <c r="W37" s="183">
        <v>9</v>
      </c>
      <c r="X37" s="253"/>
      <c r="Y37" s="254"/>
      <c r="Z37" s="254"/>
      <c r="AA37" s="255"/>
    </row>
    <row r="38" spans="1:27" s="14" customFormat="1" ht="20.100000000000001" customHeight="1" x14ac:dyDescent="0.15">
      <c r="A38" s="368"/>
      <c r="B38" s="190" t="s">
        <v>18</v>
      </c>
      <c r="C38" s="190" t="s">
        <v>216</v>
      </c>
      <c r="D38" s="190">
        <v>4</v>
      </c>
      <c r="E38" s="192">
        <f t="shared" si="1"/>
        <v>35</v>
      </c>
      <c r="F38" s="192">
        <f t="shared" si="2"/>
        <v>70</v>
      </c>
      <c r="G38" s="192">
        <f t="shared" si="3"/>
        <v>70</v>
      </c>
      <c r="H38" s="182">
        <v>44284</v>
      </c>
      <c r="I38" s="183">
        <v>33</v>
      </c>
      <c r="J38" s="183">
        <v>33</v>
      </c>
      <c r="K38" s="183">
        <v>33</v>
      </c>
      <c r="L38" s="182">
        <v>44358</v>
      </c>
      <c r="M38" s="183">
        <v>2</v>
      </c>
      <c r="N38" s="183">
        <v>11</v>
      </c>
      <c r="O38" s="183">
        <v>11</v>
      </c>
      <c r="P38" s="182">
        <v>44476</v>
      </c>
      <c r="Q38" s="183">
        <v>0</v>
      </c>
      <c r="R38" s="183">
        <v>15</v>
      </c>
      <c r="S38" s="183">
        <v>15</v>
      </c>
      <c r="T38" s="182">
        <v>44524</v>
      </c>
      <c r="U38" s="183">
        <v>0</v>
      </c>
      <c r="V38" s="183">
        <v>11</v>
      </c>
      <c r="W38" s="183">
        <v>11</v>
      </c>
      <c r="X38" s="253"/>
      <c r="Y38" s="254"/>
      <c r="Z38" s="254"/>
      <c r="AA38" s="255"/>
    </row>
    <row r="39" spans="1:27" s="14" customFormat="1" ht="20.100000000000001" customHeight="1" x14ac:dyDescent="0.15">
      <c r="A39" s="368" t="s">
        <v>107</v>
      </c>
      <c r="B39" s="354" t="s">
        <v>152</v>
      </c>
      <c r="C39" s="190" t="s">
        <v>221</v>
      </c>
      <c r="D39" s="190">
        <v>2</v>
      </c>
      <c r="E39" s="192">
        <f t="shared" si="1"/>
        <v>2</v>
      </c>
      <c r="F39" s="192">
        <f t="shared" si="2"/>
        <v>4</v>
      </c>
      <c r="G39" s="192">
        <f t="shared" si="3"/>
        <v>4</v>
      </c>
      <c r="H39" s="182"/>
      <c r="I39" s="183"/>
      <c r="J39" s="183"/>
      <c r="K39" s="183"/>
      <c r="L39" s="182">
        <v>44355</v>
      </c>
      <c r="M39" s="183">
        <v>2</v>
      </c>
      <c r="N39" s="183">
        <v>2</v>
      </c>
      <c r="O39" s="183">
        <v>2</v>
      </c>
      <c r="P39" s="182">
        <v>44469</v>
      </c>
      <c r="Q39" s="183">
        <v>0</v>
      </c>
      <c r="R39" s="183">
        <v>2</v>
      </c>
      <c r="S39" s="183">
        <v>2</v>
      </c>
      <c r="T39" s="182"/>
      <c r="U39" s="183"/>
      <c r="V39" s="183"/>
      <c r="W39" s="183"/>
      <c r="X39" s="253"/>
      <c r="Y39" s="254"/>
      <c r="Z39" s="254"/>
      <c r="AA39" s="255"/>
    </row>
    <row r="40" spans="1:27" s="14" customFormat="1" ht="20.100000000000001" customHeight="1" x14ac:dyDescent="0.15">
      <c r="A40" s="368"/>
      <c r="B40" s="354"/>
      <c r="C40" s="190" t="s">
        <v>231</v>
      </c>
      <c r="D40" s="190">
        <v>3</v>
      </c>
      <c r="E40" s="192">
        <f t="shared" si="1"/>
        <v>8</v>
      </c>
      <c r="F40" s="192">
        <f t="shared" si="2"/>
        <v>17</v>
      </c>
      <c r="G40" s="192">
        <f t="shared" si="3"/>
        <v>17</v>
      </c>
      <c r="H40" s="182"/>
      <c r="I40" s="183"/>
      <c r="J40" s="183"/>
      <c r="K40" s="183"/>
      <c r="L40" s="182">
        <v>44355</v>
      </c>
      <c r="M40" s="183">
        <v>4</v>
      </c>
      <c r="N40" s="183">
        <v>4</v>
      </c>
      <c r="O40" s="183">
        <v>4</v>
      </c>
      <c r="P40" s="182">
        <v>44469</v>
      </c>
      <c r="Q40" s="183">
        <v>4</v>
      </c>
      <c r="R40" s="183">
        <v>6</v>
      </c>
      <c r="S40" s="183">
        <v>6</v>
      </c>
      <c r="T40" s="182">
        <v>44504</v>
      </c>
      <c r="U40" s="183">
        <v>0</v>
      </c>
      <c r="V40" s="183">
        <v>7</v>
      </c>
      <c r="W40" s="183">
        <v>7</v>
      </c>
      <c r="X40" s="253"/>
      <c r="Y40" s="254"/>
      <c r="Z40" s="254"/>
      <c r="AA40" s="255"/>
    </row>
    <row r="41" spans="1:27" s="14" customFormat="1" ht="20.100000000000001" customHeight="1" x14ac:dyDescent="0.15">
      <c r="A41" s="368"/>
      <c r="B41" s="354"/>
      <c r="C41" s="190" t="s">
        <v>150</v>
      </c>
      <c r="D41" s="190">
        <v>1</v>
      </c>
      <c r="E41" s="192">
        <f t="shared" si="1"/>
        <v>5</v>
      </c>
      <c r="F41" s="192">
        <f t="shared" si="2"/>
        <v>5</v>
      </c>
      <c r="G41" s="192">
        <f t="shared" si="3"/>
        <v>5</v>
      </c>
      <c r="H41" s="182"/>
      <c r="I41" s="183"/>
      <c r="J41" s="183"/>
      <c r="K41" s="183"/>
      <c r="L41" s="182">
        <v>44355</v>
      </c>
      <c r="M41" s="183">
        <v>5</v>
      </c>
      <c r="N41" s="183">
        <v>5</v>
      </c>
      <c r="O41" s="183">
        <v>5</v>
      </c>
      <c r="P41" s="182"/>
      <c r="Q41" s="183"/>
      <c r="R41" s="183"/>
      <c r="S41" s="183"/>
      <c r="T41" s="182"/>
      <c r="U41" s="183"/>
      <c r="V41" s="183"/>
      <c r="W41" s="183"/>
      <c r="X41" s="253"/>
      <c r="Y41" s="254"/>
      <c r="Z41" s="254"/>
      <c r="AA41" s="255"/>
    </row>
    <row r="42" spans="1:27" s="14" customFormat="1" ht="20.100000000000001" customHeight="1" x14ac:dyDescent="0.15">
      <c r="A42" s="368"/>
      <c r="B42" s="354"/>
      <c r="C42" s="190" t="s">
        <v>144</v>
      </c>
      <c r="D42" s="190">
        <v>1</v>
      </c>
      <c r="E42" s="192">
        <f t="shared" si="1"/>
        <v>3</v>
      </c>
      <c r="F42" s="192">
        <f t="shared" si="2"/>
        <v>3</v>
      </c>
      <c r="G42" s="192">
        <f t="shared" si="3"/>
        <v>3</v>
      </c>
      <c r="H42" s="182"/>
      <c r="I42" s="183"/>
      <c r="J42" s="183"/>
      <c r="K42" s="183"/>
      <c r="L42" s="182">
        <v>44355</v>
      </c>
      <c r="M42" s="183">
        <v>3</v>
      </c>
      <c r="N42" s="183">
        <v>3</v>
      </c>
      <c r="O42" s="183">
        <v>3</v>
      </c>
      <c r="P42" s="182"/>
      <c r="Q42" s="183"/>
      <c r="R42" s="183"/>
      <c r="S42" s="183"/>
      <c r="T42" s="182"/>
      <c r="U42" s="183"/>
      <c r="V42" s="183"/>
      <c r="W42" s="183"/>
      <c r="X42" s="253"/>
      <c r="Y42" s="254"/>
      <c r="Z42" s="254"/>
      <c r="AA42" s="255"/>
    </row>
    <row r="43" spans="1:27" s="14" customFormat="1" ht="20.100000000000001" customHeight="1" x14ac:dyDescent="0.15">
      <c r="A43" s="368" t="s">
        <v>84</v>
      </c>
      <c r="B43" s="376" t="s">
        <v>183</v>
      </c>
      <c r="C43" s="190" t="s">
        <v>14</v>
      </c>
      <c r="D43" s="190">
        <v>3</v>
      </c>
      <c r="E43" s="192">
        <f t="shared" si="1"/>
        <v>31</v>
      </c>
      <c r="F43" s="192">
        <f t="shared" si="2"/>
        <v>52</v>
      </c>
      <c r="G43" s="192">
        <f t="shared" si="3"/>
        <v>52</v>
      </c>
      <c r="H43" s="182">
        <v>44313</v>
      </c>
      <c r="I43" s="183">
        <v>14</v>
      </c>
      <c r="J43" s="183">
        <v>14</v>
      </c>
      <c r="K43" s="183">
        <v>14</v>
      </c>
      <c r="L43" s="182">
        <v>44369</v>
      </c>
      <c r="M43" s="183">
        <v>4</v>
      </c>
      <c r="N43" s="183">
        <v>12</v>
      </c>
      <c r="O43" s="183">
        <v>12</v>
      </c>
      <c r="P43" s="182">
        <v>44474</v>
      </c>
      <c r="Q43" s="183">
        <v>13</v>
      </c>
      <c r="R43" s="183">
        <v>26</v>
      </c>
      <c r="S43" s="183">
        <v>26</v>
      </c>
      <c r="T43" s="182"/>
      <c r="U43" s="183"/>
      <c r="V43" s="183"/>
      <c r="W43" s="183"/>
      <c r="X43" s="253"/>
      <c r="Y43" s="254"/>
      <c r="Z43" s="254"/>
      <c r="AA43" s="255"/>
    </row>
    <row r="44" spans="1:27" s="14" customFormat="1" ht="20.100000000000001" customHeight="1" x14ac:dyDescent="0.15">
      <c r="A44" s="368"/>
      <c r="B44" s="376"/>
      <c r="C44" s="190" t="s">
        <v>12</v>
      </c>
      <c r="D44" s="190">
        <v>2</v>
      </c>
      <c r="E44" s="192">
        <f t="shared" si="1"/>
        <v>8</v>
      </c>
      <c r="F44" s="192">
        <f t="shared" si="2"/>
        <v>17</v>
      </c>
      <c r="G44" s="192">
        <f t="shared" si="3"/>
        <v>17</v>
      </c>
      <c r="H44" s="182">
        <v>44313</v>
      </c>
      <c r="I44" s="183">
        <v>1</v>
      </c>
      <c r="J44" s="183">
        <v>1</v>
      </c>
      <c r="K44" s="183">
        <v>1</v>
      </c>
      <c r="L44" s="182">
        <v>44369</v>
      </c>
      <c r="M44" s="183">
        <v>7</v>
      </c>
      <c r="N44" s="183">
        <v>8</v>
      </c>
      <c r="O44" s="183">
        <v>8</v>
      </c>
      <c r="P44" s="182">
        <v>44474</v>
      </c>
      <c r="Q44" s="183">
        <v>0</v>
      </c>
      <c r="R44" s="183">
        <v>8</v>
      </c>
      <c r="S44" s="183">
        <v>8</v>
      </c>
      <c r="T44" s="182"/>
      <c r="U44" s="183"/>
      <c r="V44" s="183"/>
      <c r="W44" s="183"/>
      <c r="X44" s="253"/>
      <c r="Y44" s="254"/>
      <c r="Z44" s="254"/>
      <c r="AA44" s="255"/>
    </row>
    <row r="45" spans="1:27" s="14" customFormat="1" ht="20.100000000000001" customHeight="1" x14ac:dyDescent="0.15">
      <c r="A45" s="368" t="s">
        <v>71</v>
      </c>
      <c r="B45" s="354" t="s">
        <v>30</v>
      </c>
      <c r="C45" s="190" t="s">
        <v>136</v>
      </c>
      <c r="D45" s="190">
        <v>2</v>
      </c>
      <c r="E45" s="192">
        <f t="shared" si="1"/>
        <v>16</v>
      </c>
      <c r="F45" s="192">
        <f t="shared" si="2"/>
        <v>28</v>
      </c>
      <c r="G45" s="192">
        <f t="shared" si="3"/>
        <v>28</v>
      </c>
      <c r="H45" s="182">
        <v>44264</v>
      </c>
      <c r="I45" s="183">
        <v>8</v>
      </c>
      <c r="J45" s="183">
        <v>8</v>
      </c>
      <c r="K45" s="183">
        <v>8</v>
      </c>
      <c r="L45" s="182"/>
      <c r="M45" s="183"/>
      <c r="N45" s="183"/>
      <c r="O45" s="183"/>
      <c r="P45" s="182">
        <v>44425</v>
      </c>
      <c r="Q45" s="183">
        <v>8</v>
      </c>
      <c r="R45" s="183">
        <v>20</v>
      </c>
      <c r="S45" s="183">
        <v>20</v>
      </c>
      <c r="T45" s="182">
        <v>44497</v>
      </c>
      <c r="U45" s="183">
        <v>0</v>
      </c>
      <c r="V45" s="183">
        <v>0</v>
      </c>
      <c r="W45" s="183">
        <v>0</v>
      </c>
      <c r="X45" s="253"/>
      <c r="Y45" s="254"/>
      <c r="Z45" s="254"/>
      <c r="AA45" s="255"/>
    </row>
    <row r="46" spans="1:27" s="14" customFormat="1" ht="20.100000000000001" customHeight="1" x14ac:dyDescent="0.15">
      <c r="A46" s="368"/>
      <c r="B46" s="354"/>
      <c r="C46" s="190" t="s">
        <v>133</v>
      </c>
      <c r="D46" s="190">
        <v>1</v>
      </c>
      <c r="E46" s="192">
        <f t="shared" si="1"/>
        <v>4</v>
      </c>
      <c r="F46" s="192">
        <f t="shared" si="2"/>
        <v>4</v>
      </c>
      <c r="G46" s="192">
        <f t="shared" si="3"/>
        <v>4</v>
      </c>
      <c r="H46" s="182">
        <v>44264</v>
      </c>
      <c r="I46" s="183">
        <v>4</v>
      </c>
      <c r="J46" s="183">
        <v>4</v>
      </c>
      <c r="K46" s="183">
        <v>4</v>
      </c>
      <c r="L46" s="182"/>
      <c r="M46" s="183"/>
      <c r="N46" s="183"/>
      <c r="O46" s="183"/>
      <c r="P46" s="182"/>
      <c r="Q46" s="183"/>
      <c r="R46" s="183"/>
      <c r="S46" s="183"/>
      <c r="T46" s="182">
        <v>44497</v>
      </c>
      <c r="U46" s="183">
        <v>0</v>
      </c>
      <c r="V46" s="183">
        <v>0</v>
      </c>
      <c r="W46" s="183">
        <v>0</v>
      </c>
      <c r="X46" s="253"/>
      <c r="Y46" s="254"/>
      <c r="Z46" s="254"/>
      <c r="AA46" s="255"/>
    </row>
    <row r="47" spans="1:27" s="14" customFormat="1" ht="20.100000000000001" customHeight="1" x14ac:dyDescent="0.15">
      <c r="A47" s="368"/>
      <c r="B47" s="354"/>
      <c r="C47" s="190" t="s">
        <v>135</v>
      </c>
      <c r="D47" s="190">
        <v>1</v>
      </c>
      <c r="E47" s="192">
        <f t="shared" si="1"/>
        <v>5</v>
      </c>
      <c r="F47" s="192">
        <f t="shared" si="2"/>
        <v>5</v>
      </c>
      <c r="G47" s="192">
        <f t="shared" si="3"/>
        <v>5</v>
      </c>
      <c r="H47" s="182">
        <v>44264</v>
      </c>
      <c r="I47" s="183">
        <v>5</v>
      </c>
      <c r="J47" s="183">
        <v>5</v>
      </c>
      <c r="K47" s="183">
        <v>5</v>
      </c>
      <c r="L47" s="182"/>
      <c r="M47" s="183"/>
      <c r="N47" s="183"/>
      <c r="O47" s="183"/>
      <c r="P47" s="182"/>
      <c r="Q47" s="183"/>
      <c r="R47" s="183"/>
      <c r="S47" s="183"/>
      <c r="T47" s="182">
        <v>44497</v>
      </c>
      <c r="U47" s="183">
        <v>0</v>
      </c>
      <c r="V47" s="183">
        <v>0</v>
      </c>
      <c r="W47" s="183">
        <v>0</v>
      </c>
      <c r="X47" s="253"/>
      <c r="Y47" s="254"/>
      <c r="Z47" s="254"/>
      <c r="AA47" s="255"/>
    </row>
    <row r="48" spans="1:27" s="14" customFormat="1" ht="20.100000000000001" customHeight="1" x14ac:dyDescent="0.15">
      <c r="A48" s="368" t="s">
        <v>71</v>
      </c>
      <c r="B48" s="354" t="s">
        <v>30</v>
      </c>
      <c r="C48" s="190" t="s">
        <v>204</v>
      </c>
      <c r="D48" s="190">
        <v>3</v>
      </c>
      <c r="E48" s="192">
        <f t="shared" si="1"/>
        <v>8</v>
      </c>
      <c r="F48" s="192">
        <f t="shared" si="2"/>
        <v>15</v>
      </c>
      <c r="G48" s="192">
        <f t="shared" si="3"/>
        <v>15</v>
      </c>
      <c r="H48" s="182">
        <v>44265</v>
      </c>
      <c r="I48" s="183">
        <v>4</v>
      </c>
      <c r="J48" s="183">
        <v>4</v>
      </c>
      <c r="K48" s="183">
        <v>4</v>
      </c>
      <c r="L48" s="182"/>
      <c r="M48" s="183"/>
      <c r="N48" s="183"/>
      <c r="O48" s="183"/>
      <c r="P48" s="182">
        <v>44426</v>
      </c>
      <c r="Q48" s="183">
        <v>4</v>
      </c>
      <c r="R48" s="183">
        <v>8</v>
      </c>
      <c r="S48" s="183">
        <v>8</v>
      </c>
      <c r="T48" s="182">
        <v>44497</v>
      </c>
      <c r="U48" s="183">
        <v>0</v>
      </c>
      <c r="V48" s="183">
        <v>3</v>
      </c>
      <c r="W48" s="183">
        <v>3</v>
      </c>
      <c r="X48" s="253"/>
      <c r="Y48" s="254"/>
      <c r="Z48" s="254"/>
      <c r="AA48" s="255"/>
    </row>
    <row r="49" spans="1:28" s="14" customFormat="1" ht="20.100000000000001" customHeight="1" x14ac:dyDescent="0.15">
      <c r="A49" s="368"/>
      <c r="B49" s="354"/>
      <c r="C49" s="190" t="s">
        <v>100</v>
      </c>
      <c r="D49" s="190">
        <v>5</v>
      </c>
      <c r="E49" s="192">
        <f t="shared" si="1"/>
        <v>16</v>
      </c>
      <c r="F49" s="192">
        <f t="shared" si="2"/>
        <v>76</v>
      </c>
      <c r="G49" s="192">
        <f t="shared" si="3"/>
        <v>76</v>
      </c>
      <c r="H49" s="182">
        <v>44252</v>
      </c>
      <c r="I49" s="183">
        <v>14</v>
      </c>
      <c r="J49" s="183">
        <v>14</v>
      </c>
      <c r="K49" s="183">
        <v>14</v>
      </c>
      <c r="L49" s="182">
        <v>44322</v>
      </c>
      <c r="M49" s="183">
        <v>0</v>
      </c>
      <c r="N49" s="183">
        <v>14</v>
      </c>
      <c r="O49" s="183">
        <v>14</v>
      </c>
      <c r="P49" s="182">
        <v>44421</v>
      </c>
      <c r="Q49" s="183">
        <v>0</v>
      </c>
      <c r="R49" s="183">
        <v>15</v>
      </c>
      <c r="S49" s="183">
        <v>15</v>
      </c>
      <c r="T49" s="182">
        <v>44488</v>
      </c>
      <c r="U49" s="183">
        <v>0</v>
      </c>
      <c r="V49" s="183">
        <v>18</v>
      </c>
      <c r="W49" s="183">
        <v>18</v>
      </c>
      <c r="X49" s="253">
        <v>44532</v>
      </c>
      <c r="Y49" s="254">
        <v>2</v>
      </c>
      <c r="Z49" s="254">
        <v>15</v>
      </c>
      <c r="AA49" s="255">
        <v>15</v>
      </c>
    </row>
    <row r="50" spans="1:28" s="14" customFormat="1" ht="20.100000000000001" customHeight="1" x14ac:dyDescent="0.15">
      <c r="A50" s="368"/>
      <c r="B50" s="354"/>
      <c r="C50" s="190" t="s">
        <v>80</v>
      </c>
      <c r="D50" s="190">
        <v>1</v>
      </c>
      <c r="E50" s="192">
        <f t="shared" si="1"/>
        <v>27</v>
      </c>
      <c r="F50" s="192">
        <f t="shared" si="2"/>
        <v>27</v>
      </c>
      <c r="G50" s="192">
        <f t="shared" si="3"/>
        <v>27</v>
      </c>
      <c r="H50" s="182"/>
      <c r="I50" s="183"/>
      <c r="J50" s="183"/>
      <c r="K50" s="183"/>
      <c r="L50" s="182"/>
      <c r="M50" s="183"/>
      <c r="N50" s="183"/>
      <c r="O50" s="183"/>
      <c r="P50" s="182">
        <v>44427</v>
      </c>
      <c r="Q50" s="183">
        <v>27</v>
      </c>
      <c r="R50" s="183">
        <v>27</v>
      </c>
      <c r="S50" s="183">
        <v>27</v>
      </c>
      <c r="T50" s="182"/>
      <c r="U50" s="183"/>
      <c r="V50" s="183"/>
      <c r="W50" s="183"/>
      <c r="X50" s="253"/>
      <c r="Y50" s="254"/>
      <c r="Z50" s="254"/>
      <c r="AA50" s="255"/>
    </row>
    <row r="51" spans="1:28" s="14" customFormat="1" ht="20.100000000000001" customHeight="1" x14ac:dyDescent="0.15">
      <c r="A51" s="368"/>
      <c r="B51" s="354"/>
      <c r="C51" s="190" t="s">
        <v>68</v>
      </c>
      <c r="D51" s="190">
        <v>1</v>
      </c>
      <c r="E51" s="192">
        <f t="shared" si="1"/>
        <v>10</v>
      </c>
      <c r="F51" s="192">
        <f t="shared" si="2"/>
        <v>10</v>
      </c>
      <c r="G51" s="192">
        <f t="shared" si="3"/>
        <v>10</v>
      </c>
      <c r="H51" s="182"/>
      <c r="I51" s="183"/>
      <c r="J51" s="183"/>
      <c r="K51" s="183"/>
      <c r="L51" s="182"/>
      <c r="M51" s="183"/>
      <c r="N51" s="183"/>
      <c r="O51" s="183"/>
      <c r="P51" s="182">
        <v>44427</v>
      </c>
      <c r="Q51" s="183">
        <v>10</v>
      </c>
      <c r="R51" s="183">
        <v>10</v>
      </c>
      <c r="S51" s="183">
        <v>10</v>
      </c>
      <c r="T51" s="182"/>
      <c r="U51" s="183"/>
      <c r="V51" s="183"/>
      <c r="W51" s="183"/>
      <c r="X51" s="253"/>
      <c r="Y51" s="254"/>
      <c r="Z51" s="254"/>
      <c r="AA51" s="255"/>
    </row>
    <row r="52" spans="1:28" s="14" customFormat="1" ht="20.100000000000001" customHeight="1" x14ac:dyDescent="0.15">
      <c r="A52" s="368"/>
      <c r="B52" s="354"/>
      <c r="C52" s="190" t="s">
        <v>74</v>
      </c>
      <c r="D52" s="190">
        <v>2</v>
      </c>
      <c r="E52" s="192">
        <f t="shared" si="1"/>
        <v>9</v>
      </c>
      <c r="F52" s="192">
        <f t="shared" si="2"/>
        <v>20</v>
      </c>
      <c r="G52" s="192">
        <f t="shared" si="3"/>
        <v>20</v>
      </c>
      <c r="H52" s="182">
        <v>44272</v>
      </c>
      <c r="I52" s="183">
        <v>7</v>
      </c>
      <c r="J52" s="183">
        <v>7</v>
      </c>
      <c r="K52" s="183">
        <v>7</v>
      </c>
      <c r="L52" s="182"/>
      <c r="M52" s="183"/>
      <c r="N52" s="183"/>
      <c r="O52" s="183"/>
      <c r="P52" s="182"/>
      <c r="Q52" s="183"/>
      <c r="R52" s="183"/>
      <c r="S52" s="183"/>
      <c r="T52" s="182">
        <v>44515</v>
      </c>
      <c r="U52" s="183">
        <v>2</v>
      </c>
      <c r="V52" s="183">
        <v>13</v>
      </c>
      <c r="W52" s="183">
        <v>13</v>
      </c>
      <c r="X52" s="253"/>
      <c r="Y52" s="254"/>
      <c r="Z52" s="254"/>
      <c r="AA52" s="255"/>
    </row>
    <row r="53" spans="1:28" s="14" customFormat="1" ht="20.100000000000001" customHeight="1" x14ac:dyDescent="0.15">
      <c r="A53" s="368"/>
      <c r="B53" s="354"/>
      <c r="C53" s="190" t="s">
        <v>69</v>
      </c>
      <c r="D53" s="190">
        <v>2</v>
      </c>
      <c r="E53" s="192">
        <f t="shared" si="1"/>
        <v>8</v>
      </c>
      <c r="F53" s="192">
        <f t="shared" si="2"/>
        <v>18</v>
      </c>
      <c r="G53" s="192">
        <f t="shared" si="3"/>
        <v>18</v>
      </c>
      <c r="H53" s="182">
        <v>44272</v>
      </c>
      <c r="I53" s="183">
        <v>8</v>
      </c>
      <c r="J53" s="183">
        <v>8</v>
      </c>
      <c r="K53" s="183">
        <v>8</v>
      </c>
      <c r="L53" s="182"/>
      <c r="M53" s="183"/>
      <c r="N53" s="183"/>
      <c r="O53" s="183"/>
      <c r="P53" s="182"/>
      <c r="Q53" s="183"/>
      <c r="R53" s="183"/>
      <c r="S53" s="183"/>
      <c r="T53" s="182">
        <v>44515</v>
      </c>
      <c r="U53" s="183">
        <v>0</v>
      </c>
      <c r="V53" s="183">
        <v>10</v>
      </c>
      <c r="W53" s="183">
        <v>10</v>
      </c>
      <c r="X53" s="253"/>
      <c r="Y53" s="254"/>
      <c r="Z53" s="254"/>
      <c r="AA53" s="255"/>
    </row>
    <row r="54" spans="1:28" s="14" customFormat="1" ht="20.100000000000001" customHeight="1" x14ac:dyDescent="0.15">
      <c r="A54" s="368"/>
      <c r="B54" s="354"/>
      <c r="C54" s="190" t="s">
        <v>117</v>
      </c>
      <c r="D54" s="190">
        <v>1</v>
      </c>
      <c r="E54" s="192">
        <f t="shared" si="1"/>
        <v>5</v>
      </c>
      <c r="F54" s="192">
        <f t="shared" si="2"/>
        <v>5</v>
      </c>
      <c r="G54" s="192">
        <f t="shared" si="3"/>
        <v>5</v>
      </c>
      <c r="H54" s="182">
        <v>44271</v>
      </c>
      <c r="I54" s="183">
        <v>5</v>
      </c>
      <c r="J54" s="183">
        <v>5</v>
      </c>
      <c r="K54" s="183">
        <v>5</v>
      </c>
      <c r="L54" s="182"/>
      <c r="M54" s="183"/>
      <c r="N54" s="183"/>
      <c r="O54" s="183"/>
      <c r="P54" s="182"/>
      <c r="Q54" s="183"/>
      <c r="R54" s="183"/>
      <c r="S54" s="183"/>
      <c r="T54" s="182"/>
      <c r="U54" s="183"/>
      <c r="V54" s="183"/>
      <c r="W54" s="183"/>
      <c r="X54" s="253"/>
      <c r="Y54" s="254"/>
      <c r="Z54" s="254"/>
      <c r="AA54" s="255"/>
    </row>
    <row r="55" spans="1:28" s="14" customFormat="1" ht="20.100000000000001" customHeight="1" x14ac:dyDescent="0.15">
      <c r="A55" s="368"/>
      <c r="B55" s="354"/>
      <c r="C55" s="190" t="s">
        <v>62</v>
      </c>
      <c r="D55" s="190">
        <v>2</v>
      </c>
      <c r="E55" s="192">
        <f t="shared" si="1"/>
        <v>5</v>
      </c>
      <c r="F55" s="192">
        <f t="shared" si="2"/>
        <v>15</v>
      </c>
      <c r="G55" s="192">
        <f t="shared" si="3"/>
        <v>15</v>
      </c>
      <c r="H55" s="182"/>
      <c r="I55" s="183"/>
      <c r="J55" s="183"/>
      <c r="K55" s="183"/>
      <c r="L55" s="182">
        <v>44350</v>
      </c>
      <c r="M55" s="183">
        <v>5</v>
      </c>
      <c r="N55" s="183">
        <v>5</v>
      </c>
      <c r="O55" s="183">
        <v>5</v>
      </c>
      <c r="P55" s="182"/>
      <c r="Q55" s="183"/>
      <c r="R55" s="183"/>
      <c r="S55" s="183"/>
      <c r="T55" s="182">
        <v>44515</v>
      </c>
      <c r="U55" s="183">
        <v>0</v>
      </c>
      <c r="V55" s="183">
        <v>10</v>
      </c>
      <c r="W55" s="183">
        <v>10</v>
      </c>
      <c r="X55" s="253"/>
      <c r="Y55" s="254"/>
      <c r="Z55" s="254"/>
      <c r="AA55" s="255"/>
    </row>
    <row r="56" spans="1:28" s="14" customFormat="1" ht="20.100000000000001" customHeight="1" x14ac:dyDescent="0.15">
      <c r="A56" s="368"/>
      <c r="B56" s="354"/>
      <c r="C56" s="190" t="s">
        <v>25</v>
      </c>
      <c r="D56" s="190">
        <v>2</v>
      </c>
      <c r="E56" s="192">
        <f t="shared" si="1"/>
        <v>2</v>
      </c>
      <c r="F56" s="192">
        <f t="shared" si="2"/>
        <v>4</v>
      </c>
      <c r="G56" s="192">
        <f t="shared" si="3"/>
        <v>4</v>
      </c>
      <c r="H56" s="182"/>
      <c r="I56" s="183"/>
      <c r="J56" s="183"/>
      <c r="K56" s="183"/>
      <c r="L56" s="182">
        <v>44350</v>
      </c>
      <c r="M56" s="183">
        <v>2</v>
      </c>
      <c r="N56" s="183">
        <v>2</v>
      </c>
      <c r="O56" s="183">
        <v>2</v>
      </c>
      <c r="P56" s="182">
        <v>44467</v>
      </c>
      <c r="Q56" s="183">
        <v>0</v>
      </c>
      <c r="R56" s="183">
        <v>2</v>
      </c>
      <c r="S56" s="183">
        <v>2</v>
      </c>
      <c r="T56" s="182"/>
      <c r="U56" s="183"/>
      <c r="V56" s="183"/>
      <c r="W56" s="183"/>
      <c r="X56" s="253"/>
      <c r="Y56" s="254"/>
      <c r="Z56" s="254"/>
      <c r="AA56" s="255"/>
    </row>
    <row r="57" spans="1:28" s="14" customFormat="1" ht="20.100000000000001" customHeight="1" x14ac:dyDescent="0.15">
      <c r="A57" s="368"/>
      <c r="B57" s="354"/>
      <c r="C57" s="190" t="s">
        <v>15</v>
      </c>
      <c r="D57" s="190">
        <v>4</v>
      </c>
      <c r="E57" s="192">
        <f t="shared" si="1"/>
        <v>10</v>
      </c>
      <c r="F57" s="192">
        <f t="shared" si="2"/>
        <v>20</v>
      </c>
      <c r="G57" s="192">
        <f t="shared" si="3"/>
        <v>20</v>
      </c>
      <c r="H57" s="182">
        <v>44271</v>
      </c>
      <c r="I57" s="183">
        <v>5</v>
      </c>
      <c r="J57" s="183">
        <v>5</v>
      </c>
      <c r="K57" s="183">
        <v>5</v>
      </c>
      <c r="L57" s="182">
        <v>44350</v>
      </c>
      <c r="M57" s="183">
        <v>5</v>
      </c>
      <c r="N57" s="183">
        <v>5</v>
      </c>
      <c r="O57" s="183">
        <v>5</v>
      </c>
      <c r="P57" s="182">
        <v>44467</v>
      </c>
      <c r="Q57" s="183">
        <v>0</v>
      </c>
      <c r="R57" s="183">
        <v>5</v>
      </c>
      <c r="S57" s="183">
        <v>5</v>
      </c>
      <c r="T57" s="182">
        <v>44515</v>
      </c>
      <c r="U57" s="183">
        <v>0</v>
      </c>
      <c r="V57" s="183">
        <v>5</v>
      </c>
      <c r="W57" s="183">
        <v>5</v>
      </c>
      <c r="X57" s="253"/>
      <c r="Y57" s="254"/>
      <c r="Z57" s="254"/>
      <c r="AA57" s="255"/>
    </row>
    <row r="58" spans="1:28" s="14" customFormat="1" ht="20.100000000000001" customHeight="1" x14ac:dyDescent="0.15">
      <c r="A58" s="368"/>
      <c r="B58" s="190" t="s">
        <v>42</v>
      </c>
      <c r="C58" s="190" t="s">
        <v>133</v>
      </c>
      <c r="D58" s="190">
        <v>3</v>
      </c>
      <c r="E58" s="192">
        <f t="shared" si="1"/>
        <v>4</v>
      </c>
      <c r="F58" s="192">
        <f t="shared" si="2"/>
        <v>5</v>
      </c>
      <c r="G58" s="192">
        <f t="shared" si="3"/>
        <v>5</v>
      </c>
      <c r="H58" s="182">
        <v>44278</v>
      </c>
      <c r="I58" s="183">
        <v>2</v>
      </c>
      <c r="J58" s="183">
        <v>2</v>
      </c>
      <c r="K58" s="183">
        <v>2</v>
      </c>
      <c r="L58" s="182">
        <v>44349</v>
      </c>
      <c r="M58" s="183">
        <v>2</v>
      </c>
      <c r="N58" s="183">
        <v>2</v>
      </c>
      <c r="O58" s="183">
        <v>2</v>
      </c>
      <c r="P58" s="182">
        <v>44487</v>
      </c>
      <c r="Q58" s="183">
        <v>0</v>
      </c>
      <c r="R58" s="183">
        <v>1</v>
      </c>
      <c r="S58" s="183">
        <v>1</v>
      </c>
      <c r="T58" s="182"/>
      <c r="U58" s="183"/>
      <c r="V58" s="183"/>
      <c r="W58" s="183"/>
      <c r="X58" s="253"/>
      <c r="Y58" s="254"/>
      <c r="Z58" s="254"/>
      <c r="AA58" s="255"/>
    </row>
    <row r="59" spans="1:28" s="14" customFormat="1" ht="20.100000000000001" customHeight="1" x14ac:dyDescent="0.15">
      <c r="A59" s="368"/>
      <c r="B59" s="190" t="s">
        <v>51</v>
      </c>
      <c r="C59" s="190" t="s">
        <v>82</v>
      </c>
      <c r="D59" s="190">
        <v>1</v>
      </c>
      <c r="E59" s="192">
        <f t="shared" si="1"/>
        <v>4</v>
      </c>
      <c r="F59" s="192">
        <f t="shared" si="2"/>
        <v>4</v>
      </c>
      <c r="G59" s="192">
        <f t="shared" si="3"/>
        <v>4</v>
      </c>
      <c r="H59" s="182"/>
      <c r="I59" s="183"/>
      <c r="J59" s="183"/>
      <c r="K59" s="183"/>
      <c r="L59" s="182">
        <v>44301</v>
      </c>
      <c r="M59" s="183">
        <v>4</v>
      </c>
      <c r="N59" s="183">
        <v>4</v>
      </c>
      <c r="O59" s="183">
        <v>4</v>
      </c>
      <c r="P59" s="182"/>
      <c r="Q59" s="183"/>
      <c r="R59" s="183"/>
      <c r="S59" s="183"/>
      <c r="T59" s="182"/>
      <c r="U59" s="183"/>
      <c r="V59" s="183"/>
      <c r="W59" s="183"/>
      <c r="X59" s="253"/>
      <c r="Y59" s="254"/>
      <c r="Z59" s="254"/>
      <c r="AA59" s="255"/>
    </row>
    <row r="60" spans="1:28" s="14" customFormat="1" ht="20.100000000000001" customHeight="1" x14ac:dyDescent="0.15">
      <c r="A60" s="368"/>
      <c r="B60" s="190" t="s">
        <v>125</v>
      </c>
      <c r="C60" s="190" t="s">
        <v>22</v>
      </c>
      <c r="D60" s="190"/>
      <c r="E60" s="192">
        <f t="shared" si="1"/>
        <v>0</v>
      </c>
      <c r="F60" s="192">
        <f t="shared" si="2"/>
        <v>0</v>
      </c>
      <c r="G60" s="192">
        <f t="shared" si="3"/>
        <v>0</v>
      </c>
      <c r="H60" s="182"/>
      <c r="I60" s="183"/>
      <c r="J60" s="183"/>
      <c r="K60" s="183"/>
      <c r="L60" s="182"/>
      <c r="M60" s="183"/>
      <c r="N60" s="183"/>
      <c r="O60" s="183"/>
      <c r="P60" s="182"/>
      <c r="Q60" s="183"/>
      <c r="R60" s="183"/>
      <c r="S60" s="183"/>
      <c r="T60" s="182"/>
      <c r="U60" s="183"/>
      <c r="V60" s="183"/>
      <c r="W60" s="183"/>
      <c r="X60" s="253"/>
      <c r="Y60" s="254"/>
      <c r="Z60" s="254"/>
      <c r="AA60" s="255"/>
    </row>
    <row r="61" spans="1:28" s="14" customFormat="1" ht="20.100000000000001" customHeight="1" x14ac:dyDescent="0.15">
      <c r="A61" s="368"/>
      <c r="B61" s="364" t="s">
        <v>30</v>
      </c>
      <c r="C61" s="190" t="s">
        <v>60</v>
      </c>
      <c r="D61" s="190">
        <v>3</v>
      </c>
      <c r="E61" s="192">
        <f t="shared" si="1"/>
        <v>2</v>
      </c>
      <c r="F61" s="192">
        <f t="shared" si="2"/>
        <v>10</v>
      </c>
      <c r="G61" s="192">
        <f t="shared" si="3"/>
        <v>10</v>
      </c>
      <c r="H61" s="182">
        <v>44287</v>
      </c>
      <c r="I61" s="183">
        <v>2</v>
      </c>
      <c r="J61" s="183">
        <v>2</v>
      </c>
      <c r="K61" s="183">
        <v>2</v>
      </c>
      <c r="L61" s="182"/>
      <c r="M61" s="183"/>
      <c r="N61" s="183"/>
      <c r="O61" s="183"/>
      <c r="P61" s="182">
        <v>44482</v>
      </c>
      <c r="Q61" s="183">
        <v>0</v>
      </c>
      <c r="R61" s="183">
        <v>4</v>
      </c>
      <c r="S61" s="183">
        <v>4</v>
      </c>
      <c r="T61" s="182">
        <v>44546</v>
      </c>
      <c r="U61" s="183">
        <v>0</v>
      </c>
      <c r="V61" s="183">
        <v>4</v>
      </c>
      <c r="W61" s="183">
        <v>4</v>
      </c>
      <c r="X61" s="253"/>
      <c r="Y61" s="254"/>
      <c r="Z61" s="254"/>
      <c r="AA61" s="255"/>
    </row>
    <row r="62" spans="1:28" s="14" customFormat="1" ht="20.100000000000001" customHeight="1" x14ac:dyDescent="0.15">
      <c r="A62" s="368"/>
      <c r="B62" s="377"/>
      <c r="C62" s="190" t="s">
        <v>53</v>
      </c>
      <c r="D62" s="190">
        <v>3</v>
      </c>
      <c r="E62" s="192">
        <f t="shared" si="1"/>
        <v>2</v>
      </c>
      <c r="F62" s="192">
        <f t="shared" si="2"/>
        <v>6</v>
      </c>
      <c r="G62" s="192">
        <f t="shared" si="3"/>
        <v>6</v>
      </c>
      <c r="H62" s="182">
        <v>44287</v>
      </c>
      <c r="I62" s="183">
        <v>2</v>
      </c>
      <c r="J62" s="183">
        <v>2</v>
      </c>
      <c r="K62" s="183">
        <v>2</v>
      </c>
      <c r="L62" s="182"/>
      <c r="M62" s="183"/>
      <c r="N62" s="183"/>
      <c r="O62" s="183"/>
      <c r="P62" s="182">
        <v>44482</v>
      </c>
      <c r="Q62" s="183">
        <v>0</v>
      </c>
      <c r="R62" s="183">
        <v>2</v>
      </c>
      <c r="S62" s="183">
        <v>2</v>
      </c>
      <c r="T62" s="182">
        <v>44546</v>
      </c>
      <c r="U62" s="183">
        <v>0</v>
      </c>
      <c r="V62" s="183">
        <v>2</v>
      </c>
      <c r="W62" s="183">
        <v>2</v>
      </c>
      <c r="X62" s="253"/>
      <c r="Y62" s="254"/>
      <c r="Z62" s="254"/>
      <c r="AA62" s="255"/>
      <c r="AB62" s="177"/>
    </row>
    <row r="63" spans="1:28" s="14" customFormat="1" ht="20.100000000000001" customHeight="1" x14ac:dyDescent="0.15">
      <c r="A63" s="368"/>
      <c r="B63" s="377"/>
      <c r="C63" s="190" t="s">
        <v>27</v>
      </c>
      <c r="D63" s="190">
        <v>4</v>
      </c>
      <c r="E63" s="192">
        <f t="shared" si="1"/>
        <v>4</v>
      </c>
      <c r="F63" s="192">
        <f t="shared" si="2"/>
        <v>7</v>
      </c>
      <c r="G63" s="192">
        <f t="shared" si="3"/>
        <v>7</v>
      </c>
      <c r="H63" s="182">
        <v>44279</v>
      </c>
      <c r="I63" s="183">
        <v>2</v>
      </c>
      <c r="J63" s="183">
        <v>2</v>
      </c>
      <c r="K63" s="183">
        <v>2</v>
      </c>
      <c r="L63" s="182">
        <v>44343</v>
      </c>
      <c r="M63" s="183">
        <v>2</v>
      </c>
      <c r="N63" s="183">
        <v>2</v>
      </c>
      <c r="O63" s="183">
        <v>2</v>
      </c>
      <c r="P63" s="182">
        <v>44411</v>
      </c>
      <c r="Q63" s="183">
        <v>0</v>
      </c>
      <c r="R63" s="183">
        <v>2</v>
      </c>
      <c r="S63" s="183">
        <v>2</v>
      </c>
      <c r="T63" s="182">
        <v>44490</v>
      </c>
      <c r="U63" s="183">
        <v>0</v>
      </c>
      <c r="V63" s="183">
        <v>1</v>
      </c>
      <c r="W63" s="183">
        <v>1</v>
      </c>
      <c r="X63" s="253"/>
      <c r="Y63" s="254"/>
      <c r="Z63" s="254"/>
      <c r="AA63" s="255"/>
    </row>
    <row r="64" spans="1:28" s="14" customFormat="1" ht="20.100000000000001" customHeight="1" x14ac:dyDescent="0.15">
      <c r="A64" s="368"/>
      <c r="B64" s="377"/>
      <c r="C64" s="190" t="s">
        <v>137</v>
      </c>
      <c r="D64" s="190">
        <v>4</v>
      </c>
      <c r="E64" s="192">
        <f t="shared" si="1"/>
        <v>4</v>
      </c>
      <c r="F64" s="192">
        <f t="shared" si="2"/>
        <v>16</v>
      </c>
      <c r="G64" s="192">
        <f t="shared" si="3"/>
        <v>16</v>
      </c>
      <c r="H64" s="182">
        <v>44279</v>
      </c>
      <c r="I64" s="183">
        <v>4</v>
      </c>
      <c r="J64" s="183">
        <v>4</v>
      </c>
      <c r="K64" s="183">
        <v>4</v>
      </c>
      <c r="L64" s="182">
        <v>44343</v>
      </c>
      <c r="M64" s="183">
        <v>0</v>
      </c>
      <c r="N64" s="183">
        <v>4</v>
      </c>
      <c r="O64" s="183">
        <v>4</v>
      </c>
      <c r="P64" s="182">
        <v>44411</v>
      </c>
      <c r="Q64" s="183">
        <v>0</v>
      </c>
      <c r="R64" s="183">
        <v>4</v>
      </c>
      <c r="S64" s="183">
        <v>4</v>
      </c>
      <c r="T64" s="182">
        <v>44490</v>
      </c>
      <c r="U64" s="183">
        <v>0</v>
      </c>
      <c r="V64" s="183">
        <v>4</v>
      </c>
      <c r="W64" s="183">
        <v>4</v>
      </c>
      <c r="X64" s="253"/>
      <c r="Y64" s="254"/>
      <c r="Z64" s="254"/>
      <c r="AA64" s="255"/>
    </row>
    <row r="65" spans="1:27" s="14" customFormat="1" ht="20.100000000000001" customHeight="1" x14ac:dyDescent="0.15">
      <c r="A65" s="368"/>
      <c r="B65" s="377"/>
      <c r="C65" s="190" t="s">
        <v>194</v>
      </c>
      <c r="D65" s="190">
        <v>3</v>
      </c>
      <c r="E65" s="192">
        <f t="shared" si="1"/>
        <v>13</v>
      </c>
      <c r="F65" s="192">
        <f t="shared" si="2"/>
        <v>35</v>
      </c>
      <c r="G65" s="192">
        <f t="shared" si="3"/>
        <v>35</v>
      </c>
      <c r="H65" s="182">
        <v>44287</v>
      </c>
      <c r="I65" s="183">
        <v>11</v>
      </c>
      <c r="J65" s="183">
        <v>11</v>
      </c>
      <c r="K65" s="183">
        <v>11</v>
      </c>
      <c r="L65" s="182">
        <v>44372</v>
      </c>
      <c r="M65" s="183">
        <v>2</v>
      </c>
      <c r="N65" s="183">
        <v>12</v>
      </c>
      <c r="O65" s="183">
        <v>12</v>
      </c>
      <c r="P65" s="182"/>
      <c r="Q65" s="183"/>
      <c r="R65" s="183"/>
      <c r="S65" s="183"/>
      <c r="T65" s="182">
        <v>44546</v>
      </c>
      <c r="U65" s="183">
        <v>0</v>
      </c>
      <c r="V65" s="183">
        <v>12</v>
      </c>
      <c r="W65" s="183">
        <v>12</v>
      </c>
      <c r="X65" s="253"/>
      <c r="Y65" s="254"/>
      <c r="Z65" s="254"/>
      <c r="AA65" s="255"/>
    </row>
    <row r="66" spans="1:27" s="14" customFormat="1" ht="20.100000000000001" customHeight="1" x14ac:dyDescent="0.15">
      <c r="A66" s="368"/>
      <c r="B66" s="377"/>
      <c r="C66" s="190" t="s">
        <v>197</v>
      </c>
      <c r="D66" s="190">
        <v>4</v>
      </c>
      <c r="E66" s="192">
        <f t="shared" si="1"/>
        <v>11</v>
      </c>
      <c r="F66" s="192">
        <f t="shared" si="2"/>
        <v>38</v>
      </c>
      <c r="G66" s="192">
        <f t="shared" si="3"/>
        <v>38</v>
      </c>
      <c r="H66" s="182">
        <v>44286</v>
      </c>
      <c r="I66" s="183">
        <v>6</v>
      </c>
      <c r="J66" s="183">
        <v>6</v>
      </c>
      <c r="K66" s="183">
        <v>6</v>
      </c>
      <c r="L66" s="182">
        <v>44363</v>
      </c>
      <c r="M66" s="183">
        <v>5</v>
      </c>
      <c r="N66" s="183">
        <v>10</v>
      </c>
      <c r="O66" s="183">
        <v>10</v>
      </c>
      <c r="P66" s="182">
        <v>44484</v>
      </c>
      <c r="Q66" s="183">
        <v>0</v>
      </c>
      <c r="R66" s="183">
        <v>9</v>
      </c>
      <c r="S66" s="183">
        <v>9</v>
      </c>
      <c r="T66" s="182">
        <v>44525</v>
      </c>
      <c r="U66" s="183">
        <v>0</v>
      </c>
      <c r="V66" s="183">
        <v>13</v>
      </c>
      <c r="W66" s="183">
        <v>13</v>
      </c>
      <c r="X66" s="253"/>
      <c r="Y66" s="254"/>
      <c r="Z66" s="254"/>
      <c r="AA66" s="255"/>
    </row>
    <row r="67" spans="1:27" s="14" customFormat="1" ht="20.100000000000001" customHeight="1" x14ac:dyDescent="0.15">
      <c r="A67" s="368"/>
      <c r="B67" s="377"/>
      <c r="C67" s="190" t="s">
        <v>212</v>
      </c>
      <c r="D67" s="190">
        <v>2</v>
      </c>
      <c r="E67" s="192">
        <f t="shared" si="1"/>
        <v>6</v>
      </c>
      <c r="F67" s="192">
        <f t="shared" si="2"/>
        <v>10</v>
      </c>
      <c r="G67" s="192">
        <f t="shared" si="3"/>
        <v>10</v>
      </c>
      <c r="H67" s="182">
        <v>44286</v>
      </c>
      <c r="I67" s="183">
        <v>6</v>
      </c>
      <c r="J67" s="183">
        <v>6</v>
      </c>
      <c r="K67" s="183">
        <v>6</v>
      </c>
      <c r="L67" s="182"/>
      <c r="M67" s="183"/>
      <c r="N67" s="183"/>
      <c r="O67" s="183"/>
      <c r="P67" s="182"/>
      <c r="Q67" s="183"/>
      <c r="R67" s="183"/>
      <c r="S67" s="183"/>
      <c r="T67" s="182">
        <v>44525</v>
      </c>
      <c r="U67" s="183">
        <v>0</v>
      </c>
      <c r="V67" s="183">
        <v>4</v>
      </c>
      <c r="W67" s="183">
        <v>4</v>
      </c>
      <c r="X67" s="253"/>
      <c r="Y67" s="254"/>
      <c r="Z67" s="254"/>
      <c r="AA67" s="255"/>
    </row>
    <row r="68" spans="1:27" s="14" customFormat="1" ht="20.100000000000001" customHeight="1" x14ac:dyDescent="0.15">
      <c r="A68" s="368"/>
      <c r="B68" s="377"/>
      <c r="C68" s="190" t="s">
        <v>9</v>
      </c>
      <c r="D68" s="190">
        <v>3</v>
      </c>
      <c r="E68" s="192">
        <f t="shared" si="1"/>
        <v>7</v>
      </c>
      <c r="F68" s="192">
        <f t="shared" si="2"/>
        <v>12</v>
      </c>
      <c r="G68" s="192">
        <f t="shared" si="3"/>
        <v>12</v>
      </c>
      <c r="H68" s="182"/>
      <c r="I68" s="183"/>
      <c r="J68" s="183"/>
      <c r="K68" s="183"/>
      <c r="L68" s="182">
        <v>44361</v>
      </c>
      <c r="M68" s="183">
        <v>7</v>
      </c>
      <c r="N68" s="183">
        <v>7</v>
      </c>
      <c r="O68" s="183">
        <v>7</v>
      </c>
      <c r="P68" s="182">
        <v>44483</v>
      </c>
      <c r="Q68" s="183">
        <v>0</v>
      </c>
      <c r="R68" s="183">
        <v>1</v>
      </c>
      <c r="S68" s="183">
        <v>1</v>
      </c>
      <c r="T68" s="182">
        <v>44526</v>
      </c>
      <c r="U68" s="183">
        <v>0</v>
      </c>
      <c r="V68" s="183">
        <v>4</v>
      </c>
      <c r="W68" s="183">
        <v>4</v>
      </c>
      <c r="X68" s="253"/>
      <c r="Y68" s="254"/>
      <c r="Z68" s="254"/>
      <c r="AA68" s="255"/>
    </row>
    <row r="69" spans="1:27" s="14" customFormat="1" ht="20.100000000000001" customHeight="1" x14ac:dyDescent="0.15">
      <c r="A69" s="368"/>
      <c r="B69" s="378"/>
      <c r="C69" s="190" t="s">
        <v>105</v>
      </c>
      <c r="D69" s="190">
        <v>4</v>
      </c>
      <c r="E69" s="192">
        <f t="shared" si="1"/>
        <v>5</v>
      </c>
      <c r="F69" s="192">
        <f t="shared" si="2"/>
        <v>13</v>
      </c>
      <c r="G69" s="192">
        <f t="shared" si="3"/>
        <v>13</v>
      </c>
      <c r="H69" s="182">
        <v>44285</v>
      </c>
      <c r="I69" s="183">
        <v>4</v>
      </c>
      <c r="J69" s="183">
        <v>4</v>
      </c>
      <c r="K69" s="183">
        <v>4</v>
      </c>
      <c r="L69" s="182">
        <v>44361</v>
      </c>
      <c r="M69" s="183">
        <v>1</v>
      </c>
      <c r="N69" s="183">
        <v>2</v>
      </c>
      <c r="O69" s="183">
        <v>2</v>
      </c>
      <c r="P69" s="182"/>
      <c r="Q69" s="183"/>
      <c r="R69" s="183"/>
      <c r="S69" s="183"/>
      <c r="T69" s="182">
        <v>44532</v>
      </c>
      <c r="U69" s="183">
        <v>0</v>
      </c>
      <c r="V69" s="183">
        <v>7</v>
      </c>
      <c r="W69" s="183">
        <v>7</v>
      </c>
      <c r="X69" s="253"/>
      <c r="Y69" s="254"/>
      <c r="Z69" s="254"/>
      <c r="AA69" s="255"/>
    </row>
    <row r="70" spans="1:27" s="14" customFormat="1" ht="20.100000000000001" customHeight="1" x14ac:dyDescent="0.15">
      <c r="A70" s="372" t="s">
        <v>71</v>
      </c>
      <c r="B70" s="364" t="s">
        <v>30</v>
      </c>
      <c r="C70" s="190" t="s">
        <v>58</v>
      </c>
      <c r="D70" s="190">
        <v>2</v>
      </c>
      <c r="E70" s="192">
        <f t="shared" si="1"/>
        <v>0</v>
      </c>
      <c r="F70" s="192">
        <f t="shared" si="2"/>
        <v>15</v>
      </c>
      <c r="G70" s="192">
        <f t="shared" si="3"/>
        <v>15</v>
      </c>
      <c r="H70" s="182"/>
      <c r="I70" s="183"/>
      <c r="J70" s="183"/>
      <c r="K70" s="183"/>
      <c r="L70" s="182"/>
      <c r="M70" s="183"/>
      <c r="N70" s="183"/>
      <c r="O70" s="183"/>
      <c r="P70" s="182">
        <v>44483</v>
      </c>
      <c r="Q70" s="183">
        <v>0</v>
      </c>
      <c r="R70" s="183">
        <v>10</v>
      </c>
      <c r="S70" s="183">
        <v>10</v>
      </c>
      <c r="T70" s="182">
        <v>44526</v>
      </c>
      <c r="U70" s="183">
        <v>0</v>
      </c>
      <c r="V70" s="183">
        <v>5</v>
      </c>
      <c r="W70" s="183">
        <v>5</v>
      </c>
      <c r="X70" s="253"/>
      <c r="Y70" s="254"/>
      <c r="Z70" s="254"/>
      <c r="AA70" s="255"/>
    </row>
    <row r="71" spans="1:27" s="14" customFormat="1" ht="20.100000000000001" customHeight="1" x14ac:dyDescent="0.15">
      <c r="A71" s="379"/>
      <c r="B71" s="377"/>
      <c r="C71" s="190" t="s">
        <v>115</v>
      </c>
      <c r="D71" s="190">
        <v>4</v>
      </c>
      <c r="E71" s="192">
        <f t="shared" si="1"/>
        <v>28</v>
      </c>
      <c r="F71" s="192">
        <f t="shared" si="2"/>
        <v>39</v>
      </c>
      <c r="G71" s="192">
        <f t="shared" si="3"/>
        <v>39</v>
      </c>
      <c r="H71" s="182">
        <v>44252</v>
      </c>
      <c r="I71" s="183">
        <v>28</v>
      </c>
      <c r="J71" s="183">
        <v>28</v>
      </c>
      <c r="K71" s="183">
        <v>28</v>
      </c>
      <c r="L71" s="182">
        <v>44322</v>
      </c>
      <c r="M71" s="183">
        <v>0</v>
      </c>
      <c r="N71" s="183">
        <v>5</v>
      </c>
      <c r="O71" s="183">
        <v>5</v>
      </c>
      <c r="P71" s="182">
        <v>44398</v>
      </c>
      <c r="Q71" s="183">
        <v>0</v>
      </c>
      <c r="R71" s="183">
        <v>2</v>
      </c>
      <c r="S71" s="183">
        <v>2</v>
      </c>
      <c r="T71" s="182">
        <v>44490</v>
      </c>
      <c r="U71" s="183">
        <v>0</v>
      </c>
      <c r="V71" s="183">
        <v>4</v>
      </c>
      <c r="W71" s="183">
        <v>4</v>
      </c>
      <c r="X71" s="253"/>
      <c r="Y71" s="254"/>
      <c r="Z71" s="254"/>
      <c r="AA71" s="255"/>
    </row>
    <row r="72" spans="1:27" s="14" customFormat="1" ht="20.100000000000001" customHeight="1" x14ac:dyDescent="0.15">
      <c r="A72" s="379"/>
      <c r="B72" s="377"/>
      <c r="C72" s="190" t="s">
        <v>19</v>
      </c>
      <c r="D72" s="190">
        <v>2</v>
      </c>
      <c r="E72" s="192">
        <f t="shared" ref="E72:E80" si="4">SUM(I72,M72,Q72,U72,Y72)</f>
        <v>3</v>
      </c>
      <c r="F72" s="192">
        <f t="shared" ref="F72:F80" si="5">SUM(J72,N72,R72,V72,Z72)</f>
        <v>6</v>
      </c>
      <c r="G72" s="192">
        <f t="shared" ref="G72:G80" si="6">SUM(K72,O72,S72,W72,AA72)</f>
        <v>6</v>
      </c>
      <c r="H72" s="182">
        <v>44295</v>
      </c>
      <c r="I72" s="183">
        <v>3</v>
      </c>
      <c r="J72" s="183">
        <v>3</v>
      </c>
      <c r="K72" s="183">
        <v>3</v>
      </c>
      <c r="L72" s="182"/>
      <c r="M72" s="183"/>
      <c r="N72" s="183"/>
      <c r="O72" s="183"/>
      <c r="P72" s="182">
        <v>44428</v>
      </c>
      <c r="Q72" s="183">
        <v>0</v>
      </c>
      <c r="R72" s="183">
        <v>3</v>
      </c>
      <c r="S72" s="183">
        <v>3</v>
      </c>
      <c r="T72" s="182"/>
      <c r="U72" s="183"/>
      <c r="V72" s="183"/>
      <c r="W72" s="183"/>
      <c r="X72" s="253"/>
      <c r="Y72" s="254"/>
      <c r="Z72" s="254"/>
      <c r="AA72" s="255"/>
    </row>
    <row r="73" spans="1:27" s="14" customFormat="1" ht="20.100000000000001" customHeight="1" x14ac:dyDescent="0.15">
      <c r="A73" s="373"/>
      <c r="B73" s="378"/>
      <c r="C73" s="190" t="s">
        <v>31</v>
      </c>
      <c r="D73" s="190">
        <v>2</v>
      </c>
      <c r="E73" s="192">
        <f t="shared" si="4"/>
        <v>12</v>
      </c>
      <c r="F73" s="192">
        <f t="shared" si="5"/>
        <v>24</v>
      </c>
      <c r="G73" s="192">
        <f t="shared" si="6"/>
        <v>24</v>
      </c>
      <c r="H73" s="182">
        <v>44295</v>
      </c>
      <c r="I73" s="183">
        <v>12</v>
      </c>
      <c r="J73" s="183">
        <v>12</v>
      </c>
      <c r="K73" s="183">
        <v>12</v>
      </c>
      <c r="L73" s="182"/>
      <c r="M73" s="183"/>
      <c r="N73" s="183"/>
      <c r="O73" s="183"/>
      <c r="P73" s="182">
        <v>44429</v>
      </c>
      <c r="Q73" s="183">
        <v>0</v>
      </c>
      <c r="R73" s="183">
        <v>12</v>
      </c>
      <c r="S73" s="183">
        <v>12</v>
      </c>
      <c r="T73" s="182"/>
      <c r="U73" s="183"/>
      <c r="V73" s="183"/>
      <c r="W73" s="183"/>
      <c r="X73" s="253"/>
      <c r="Y73" s="254"/>
      <c r="Z73" s="254"/>
      <c r="AA73" s="255"/>
    </row>
    <row r="74" spans="1:27" s="14" customFormat="1" ht="20.100000000000001" customHeight="1" x14ac:dyDescent="0.15">
      <c r="A74" s="368" t="s">
        <v>79</v>
      </c>
      <c r="B74" s="354" t="s">
        <v>130</v>
      </c>
      <c r="C74" s="190" t="s">
        <v>140</v>
      </c>
      <c r="D74" s="190">
        <v>3</v>
      </c>
      <c r="E74" s="192">
        <f t="shared" si="4"/>
        <v>8</v>
      </c>
      <c r="F74" s="192">
        <f t="shared" si="5"/>
        <v>18</v>
      </c>
      <c r="G74" s="192">
        <f t="shared" si="6"/>
        <v>18</v>
      </c>
      <c r="H74" s="182">
        <v>44281</v>
      </c>
      <c r="I74" s="183">
        <v>8</v>
      </c>
      <c r="J74" s="183">
        <v>8</v>
      </c>
      <c r="K74" s="183">
        <v>8</v>
      </c>
      <c r="L74" s="182">
        <v>44365</v>
      </c>
      <c r="M74" s="183">
        <v>0</v>
      </c>
      <c r="N74" s="183">
        <v>8</v>
      </c>
      <c r="O74" s="183">
        <v>8</v>
      </c>
      <c r="P74" s="182"/>
      <c r="Q74" s="183"/>
      <c r="R74" s="183"/>
      <c r="S74" s="183"/>
      <c r="T74" s="182">
        <v>44552</v>
      </c>
      <c r="U74" s="183">
        <v>0</v>
      </c>
      <c r="V74" s="183">
        <v>2</v>
      </c>
      <c r="W74" s="183">
        <v>2</v>
      </c>
      <c r="X74" s="253"/>
      <c r="Y74" s="254"/>
      <c r="Z74" s="254"/>
      <c r="AA74" s="255"/>
    </row>
    <row r="75" spans="1:27" s="14" customFormat="1" ht="20.100000000000001" customHeight="1" x14ac:dyDescent="0.15">
      <c r="A75" s="368"/>
      <c r="B75" s="354"/>
      <c r="C75" s="190" t="s">
        <v>148</v>
      </c>
      <c r="D75" s="190">
        <v>4</v>
      </c>
      <c r="E75" s="192">
        <f t="shared" si="4"/>
        <v>23</v>
      </c>
      <c r="F75" s="192">
        <f t="shared" si="5"/>
        <v>58</v>
      </c>
      <c r="G75" s="192">
        <f t="shared" si="6"/>
        <v>58</v>
      </c>
      <c r="H75" s="182">
        <v>44232</v>
      </c>
      <c r="I75" s="183">
        <v>9</v>
      </c>
      <c r="J75" s="183">
        <v>9</v>
      </c>
      <c r="K75" s="183">
        <v>9</v>
      </c>
      <c r="L75" s="182">
        <v>44301</v>
      </c>
      <c r="M75" s="183">
        <v>8</v>
      </c>
      <c r="N75" s="183">
        <v>13</v>
      </c>
      <c r="O75" s="183">
        <v>13</v>
      </c>
      <c r="P75" s="182">
        <v>44379</v>
      </c>
      <c r="Q75" s="183">
        <v>6</v>
      </c>
      <c r="R75" s="183">
        <v>19</v>
      </c>
      <c r="S75" s="183">
        <v>19</v>
      </c>
      <c r="T75" s="182">
        <v>44505</v>
      </c>
      <c r="U75" s="183">
        <v>0</v>
      </c>
      <c r="V75" s="183">
        <v>17</v>
      </c>
      <c r="W75" s="183">
        <v>17</v>
      </c>
      <c r="X75" s="253"/>
      <c r="Y75" s="254"/>
      <c r="Z75" s="254"/>
      <c r="AA75" s="255"/>
    </row>
    <row r="76" spans="1:27" s="14" customFormat="1" ht="20.100000000000001" customHeight="1" x14ac:dyDescent="0.15">
      <c r="A76" s="368"/>
      <c r="B76" s="354"/>
      <c r="C76" s="190" t="s">
        <v>213</v>
      </c>
      <c r="D76" s="190">
        <v>3</v>
      </c>
      <c r="E76" s="192">
        <f t="shared" si="4"/>
        <v>71</v>
      </c>
      <c r="F76" s="192">
        <f t="shared" si="5"/>
        <v>95</v>
      </c>
      <c r="G76" s="192">
        <f t="shared" si="6"/>
        <v>95</v>
      </c>
      <c r="H76" s="182">
        <v>44253</v>
      </c>
      <c r="I76" s="183">
        <v>21</v>
      </c>
      <c r="J76" s="183">
        <v>21</v>
      </c>
      <c r="K76" s="183">
        <v>21</v>
      </c>
      <c r="L76" s="182">
        <v>44309</v>
      </c>
      <c r="M76" s="183">
        <v>22</v>
      </c>
      <c r="N76" s="183">
        <v>23</v>
      </c>
      <c r="O76" s="183">
        <v>23</v>
      </c>
      <c r="P76" s="182"/>
      <c r="Q76" s="183"/>
      <c r="R76" s="183"/>
      <c r="S76" s="183"/>
      <c r="T76" s="182">
        <v>44543</v>
      </c>
      <c r="U76" s="183">
        <v>28</v>
      </c>
      <c r="V76" s="183">
        <v>51</v>
      </c>
      <c r="W76" s="183">
        <v>51</v>
      </c>
      <c r="X76" s="253"/>
      <c r="Y76" s="254"/>
      <c r="Z76" s="254"/>
      <c r="AA76" s="255"/>
    </row>
    <row r="77" spans="1:27" s="14" customFormat="1" ht="20.100000000000001" customHeight="1" x14ac:dyDescent="0.15">
      <c r="A77" s="368"/>
      <c r="B77" s="354"/>
      <c r="C77" s="190" t="s">
        <v>215</v>
      </c>
      <c r="D77" s="190">
        <v>3</v>
      </c>
      <c r="E77" s="192">
        <f t="shared" si="4"/>
        <v>66</v>
      </c>
      <c r="F77" s="192">
        <f t="shared" si="5"/>
        <v>104</v>
      </c>
      <c r="G77" s="192">
        <f t="shared" si="6"/>
        <v>104</v>
      </c>
      <c r="H77" s="182">
        <v>44253</v>
      </c>
      <c r="I77" s="183">
        <v>23</v>
      </c>
      <c r="J77" s="183">
        <v>23</v>
      </c>
      <c r="K77" s="183">
        <v>23</v>
      </c>
      <c r="L77" s="182">
        <v>44312</v>
      </c>
      <c r="M77" s="183">
        <v>25</v>
      </c>
      <c r="N77" s="183">
        <v>29</v>
      </c>
      <c r="O77" s="183">
        <v>29</v>
      </c>
      <c r="P77" s="182"/>
      <c r="Q77" s="183"/>
      <c r="R77" s="183"/>
      <c r="S77" s="183"/>
      <c r="T77" s="182">
        <v>44553</v>
      </c>
      <c r="U77" s="183">
        <v>18</v>
      </c>
      <c r="V77" s="183">
        <v>52</v>
      </c>
      <c r="W77" s="183">
        <v>52</v>
      </c>
      <c r="X77" s="253"/>
      <c r="Y77" s="254"/>
      <c r="Z77" s="254"/>
      <c r="AA77" s="255"/>
    </row>
    <row r="78" spans="1:27" s="14" customFormat="1" ht="20.100000000000001" customHeight="1" x14ac:dyDescent="0.15">
      <c r="A78" s="368"/>
      <c r="B78" s="354"/>
      <c r="C78" s="190" t="s">
        <v>195</v>
      </c>
      <c r="D78" s="190">
        <v>3</v>
      </c>
      <c r="E78" s="192">
        <f t="shared" si="4"/>
        <v>57</v>
      </c>
      <c r="F78" s="192">
        <f t="shared" si="5"/>
        <v>74</v>
      </c>
      <c r="G78" s="192">
        <f t="shared" si="6"/>
        <v>74</v>
      </c>
      <c r="H78" s="182">
        <v>44274</v>
      </c>
      <c r="I78" s="183">
        <v>13</v>
      </c>
      <c r="J78" s="183">
        <v>13</v>
      </c>
      <c r="K78" s="183">
        <v>13</v>
      </c>
      <c r="L78" s="182"/>
      <c r="M78" s="183"/>
      <c r="N78" s="183"/>
      <c r="O78" s="183"/>
      <c r="P78" s="182">
        <v>44391</v>
      </c>
      <c r="Q78" s="183">
        <v>6</v>
      </c>
      <c r="R78" s="183">
        <v>10</v>
      </c>
      <c r="S78" s="183">
        <v>10</v>
      </c>
      <c r="T78" s="182">
        <v>44545</v>
      </c>
      <c r="U78" s="183">
        <v>38</v>
      </c>
      <c r="V78" s="183">
        <v>51</v>
      </c>
      <c r="W78" s="183">
        <v>51</v>
      </c>
      <c r="X78" s="253"/>
      <c r="Y78" s="254"/>
      <c r="Z78" s="254"/>
      <c r="AA78" s="255"/>
    </row>
    <row r="79" spans="1:27" s="14" customFormat="1" ht="20.100000000000001" customHeight="1" x14ac:dyDescent="0.15">
      <c r="A79" s="368"/>
      <c r="B79" s="354"/>
      <c r="C79" s="190" t="s">
        <v>208</v>
      </c>
      <c r="D79" s="190">
        <v>3</v>
      </c>
      <c r="E79" s="192">
        <f t="shared" si="4"/>
        <v>24</v>
      </c>
      <c r="F79" s="192">
        <f t="shared" si="5"/>
        <v>44</v>
      </c>
      <c r="G79" s="192">
        <f t="shared" si="6"/>
        <v>44</v>
      </c>
      <c r="H79" s="182">
        <v>44274</v>
      </c>
      <c r="I79" s="183">
        <v>15</v>
      </c>
      <c r="J79" s="183">
        <v>15</v>
      </c>
      <c r="K79" s="183">
        <v>15</v>
      </c>
      <c r="L79" s="182">
        <v>44344</v>
      </c>
      <c r="M79" s="183">
        <v>9</v>
      </c>
      <c r="N79" s="183">
        <v>16</v>
      </c>
      <c r="O79" s="183">
        <v>16</v>
      </c>
      <c r="P79" s="182"/>
      <c r="Q79" s="183"/>
      <c r="R79" s="183"/>
      <c r="S79" s="183"/>
      <c r="T79" s="182">
        <v>44540</v>
      </c>
      <c r="U79" s="183">
        <v>0</v>
      </c>
      <c r="V79" s="183">
        <v>13</v>
      </c>
      <c r="W79" s="183">
        <v>13</v>
      </c>
      <c r="X79" s="253"/>
      <c r="Y79" s="254"/>
      <c r="Z79" s="254"/>
      <c r="AA79" s="255"/>
    </row>
    <row r="80" spans="1:27" s="14" customFormat="1" ht="20.100000000000001" customHeight="1" x14ac:dyDescent="0.15">
      <c r="A80" s="374"/>
      <c r="B80" s="375"/>
      <c r="C80" s="195" t="s">
        <v>131</v>
      </c>
      <c r="D80" s="195">
        <v>3</v>
      </c>
      <c r="E80" s="196">
        <f t="shared" si="4"/>
        <v>5</v>
      </c>
      <c r="F80" s="196">
        <f t="shared" si="5"/>
        <v>15</v>
      </c>
      <c r="G80" s="196">
        <f t="shared" si="6"/>
        <v>15</v>
      </c>
      <c r="H80" s="184">
        <v>44281</v>
      </c>
      <c r="I80" s="185">
        <v>5</v>
      </c>
      <c r="J80" s="185">
        <v>5</v>
      </c>
      <c r="K80" s="185">
        <v>5</v>
      </c>
      <c r="L80" s="184">
        <v>44365</v>
      </c>
      <c r="M80" s="185">
        <v>0</v>
      </c>
      <c r="N80" s="185">
        <v>5</v>
      </c>
      <c r="O80" s="185">
        <v>5</v>
      </c>
      <c r="P80" s="184"/>
      <c r="Q80" s="185"/>
      <c r="R80" s="185"/>
      <c r="S80" s="185"/>
      <c r="T80" s="184">
        <v>44552</v>
      </c>
      <c r="U80" s="185">
        <v>0</v>
      </c>
      <c r="V80" s="185">
        <v>5</v>
      </c>
      <c r="W80" s="185">
        <v>5</v>
      </c>
      <c r="X80" s="256"/>
      <c r="Y80" s="257"/>
      <c r="Z80" s="257"/>
      <c r="AA80" s="258"/>
    </row>
  </sheetData>
  <mergeCells count="42"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  <mergeCell ref="A24:A25"/>
    <mergeCell ref="A26:A27"/>
    <mergeCell ref="B26:B27"/>
    <mergeCell ref="A28:A35"/>
    <mergeCell ref="B28:B30"/>
    <mergeCell ref="B32:B34"/>
    <mergeCell ref="X3:AA3"/>
    <mergeCell ref="A6:A23"/>
    <mergeCell ref="B6:B8"/>
    <mergeCell ref="B10:B15"/>
    <mergeCell ref="B16:B17"/>
    <mergeCell ref="B18:B20"/>
    <mergeCell ref="B21:B23"/>
    <mergeCell ref="A5:C5"/>
    <mergeCell ref="A1:V1"/>
    <mergeCell ref="A2:A4"/>
    <mergeCell ref="B2:B4"/>
    <mergeCell ref="C2:C4"/>
    <mergeCell ref="D2:G2"/>
    <mergeCell ref="H2:W2"/>
    <mergeCell ref="D3:D4"/>
    <mergeCell ref="E3:E4"/>
    <mergeCell ref="F3:F4"/>
    <mergeCell ref="G3:G4"/>
    <mergeCell ref="H3:K3"/>
    <mergeCell ref="L3:O3"/>
    <mergeCell ref="P3:S3"/>
    <mergeCell ref="T3:W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6DAF1"/>
  </sheetPr>
  <dimension ref="A1:AE80"/>
  <sheetViews>
    <sheetView zoomScale="106" zoomScaleNormal="106" zoomScaleSheetLayoutView="75" workbookViewId="0">
      <pane xSplit="3" ySplit="4" topLeftCell="D50" activePane="bottomRight" state="frozen"/>
      <selection pane="topRight"/>
      <selection pane="bottomLeft"/>
      <selection pane="bottomRight" activeCell="W87" sqref="W87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31" width="5.5546875" customWidth="1"/>
  </cols>
  <sheetData>
    <row r="1" spans="1:31" ht="24.75" customHeight="1" x14ac:dyDescent="0.15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16"/>
      <c r="AA1" s="16"/>
      <c r="AB1" s="325"/>
      <c r="AC1" s="325"/>
      <c r="AD1" s="325"/>
      <c r="AE1" s="16"/>
    </row>
    <row r="2" spans="1:31" ht="20.100000000000001" customHeight="1" x14ac:dyDescent="0.15">
      <c r="A2" s="326" t="s">
        <v>73</v>
      </c>
      <c r="B2" s="329" t="s">
        <v>151</v>
      </c>
      <c r="C2" s="329" t="s">
        <v>108</v>
      </c>
      <c r="D2" s="329" t="s">
        <v>94</v>
      </c>
      <c r="E2" s="329"/>
      <c r="F2" s="329"/>
      <c r="G2" s="329"/>
      <c r="H2" s="351" t="s">
        <v>155</v>
      </c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80"/>
      <c r="Y2" s="380"/>
      <c r="Z2" s="380"/>
      <c r="AA2" s="381"/>
    </row>
    <row r="3" spans="1:31" ht="17.25" customHeight="1" x14ac:dyDescent="0.15">
      <c r="A3" s="327"/>
      <c r="B3" s="330"/>
      <c r="C3" s="330"/>
      <c r="D3" s="330" t="s">
        <v>134</v>
      </c>
      <c r="E3" s="330" t="s">
        <v>128</v>
      </c>
      <c r="F3" s="330" t="s">
        <v>70</v>
      </c>
      <c r="G3" s="330" t="s">
        <v>198</v>
      </c>
      <c r="H3" s="330" t="s">
        <v>122</v>
      </c>
      <c r="I3" s="335"/>
      <c r="J3" s="335"/>
      <c r="K3" s="335"/>
      <c r="L3" s="330" t="s">
        <v>106</v>
      </c>
      <c r="M3" s="330"/>
      <c r="N3" s="330"/>
      <c r="O3" s="330"/>
      <c r="P3" s="330" t="s">
        <v>7</v>
      </c>
      <c r="Q3" s="330"/>
      <c r="R3" s="330"/>
      <c r="S3" s="330"/>
      <c r="T3" s="354" t="s">
        <v>46</v>
      </c>
      <c r="U3" s="354"/>
      <c r="V3" s="354"/>
      <c r="W3" s="354"/>
      <c r="X3" s="337" t="s">
        <v>56</v>
      </c>
      <c r="Y3" s="330"/>
      <c r="Z3" s="330"/>
      <c r="AA3" s="336"/>
    </row>
    <row r="4" spans="1:31" ht="26.25" customHeight="1" x14ac:dyDescent="0.15">
      <c r="A4" s="328"/>
      <c r="B4" s="331"/>
      <c r="C4" s="331"/>
      <c r="D4" s="331"/>
      <c r="E4" s="331"/>
      <c r="F4" s="331"/>
      <c r="G4" s="331"/>
      <c r="H4" s="156" t="s">
        <v>26</v>
      </c>
      <c r="I4" s="156" t="s">
        <v>128</v>
      </c>
      <c r="J4" s="156" t="s">
        <v>70</v>
      </c>
      <c r="K4" s="64" t="s">
        <v>28</v>
      </c>
      <c r="L4" s="156" t="s">
        <v>26</v>
      </c>
      <c r="M4" s="156" t="s">
        <v>128</v>
      </c>
      <c r="N4" s="156" t="s">
        <v>70</v>
      </c>
      <c r="O4" s="64" t="s">
        <v>28</v>
      </c>
      <c r="P4" s="156" t="s">
        <v>26</v>
      </c>
      <c r="Q4" s="156" t="s">
        <v>128</v>
      </c>
      <c r="R4" s="156" t="s">
        <v>70</v>
      </c>
      <c r="S4" s="64" t="s">
        <v>28</v>
      </c>
      <c r="T4" s="234" t="s">
        <v>26</v>
      </c>
      <c r="U4" s="234" t="s">
        <v>128</v>
      </c>
      <c r="V4" s="234" t="s">
        <v>70</v>
      </c>
      <c r="W4" s="235" t="s">
        <v>28</v>
      </c>
      <c r="X4" s="146" t="s">
        <v>26</v>
      </c>
      <c r="Y4" s="65" t="s">
        <v>128</v>
      </c>
      <c r="Z4" s="65" t="s">
        <v>70</v>
      </c>
      <c r="AA4" s="66" t="s">
        <v>200</v>
      </c>
    </row>
    <row r="5" spans="1:31" ht="23.25" customHeight="1" x14ac:dyDescent="0.15">
      <c r="A5" s="340" t="s">
        <v>6</v>
      </c>
      <c r="B5" s="341"/>
      <c r="C5" s="342"/>
      <c r="D5" s="95"/>
      <c r="E5" s="96">
        <f>SUM(E6:E80)</f>
        <v>554</v>
      </c>
      <c r="F5" s="96">
        <f>SUM(F6:F80)</f>
        <v>813</v>
      </c>
      <c r="G5" s="96">
        <f>SUM(G6:G80)</f>
        <v>64</v>
      </c>
      <c r="H5" s="96"/>
      <c r="I5" s="96">
        <f>SUM(I6:I80)</f>
        <v>63</v>
      </c>
      <c r="J5" s="96">
        <f>SUM(J6:J80)</f>
        <v>63</v>
      </c>
      <c r="K5" s="96">
        <f>SUM(K6:K80)</f>
        <v>7</v>
      </c>
      <c r="L5" s="96"/>
      <c r="M5" s="96">
        <f>SUM(M6:M80)</f>
        <v>217</v>
      </c>
      <c r="N5" s="96">
        <f>SUM(N6:N80)</f>
        <v>236</v>
      </c>
      <c r="O5" s="96">
        <f>SUM(O6:O80)</f>
        <v>24</v>
      </c>
      <c r="P5" s="96"/>
      <c r="Q5" s="96">
        <f>SUM(Q6:Q80)</f>
        <v>83</v>
      </c>
      <c r="R5" s="96">
        <f>SUM(R6:R80)</f>
        <v>153</v>
      </c>
      <c r="S5" s="96"/>
      <c r="T5" s="236"/>
      <c r="U5" s="236">
        <f>SUM(U6:U80)</f>
        <v>188</v>
      </c>
      <c r="V5" s="236">
        <f>SUM(V6:V80)</f>
        <v>346</v>
      </c>
      <c r="W5" s="236">
        <f>SUM(W6:W80)</f>
        <v>22</v>
      </c>
      <c r="X5" s="147"/>
      <c r="Y5" s="144">
        <f>SUM(Y6:Y80)</f>
        <v>3</v>
      </c>
      <c r="Z5" s="144">
        <f>SUM(Z6:Z80)</f>
        <v>15</v>
      </c>
      <c r="AA5" s="145">
        <f>SUM(AA6:AA80)</f>
        <v>2</v>
      </c>
    </row>
    <row r="6" spans="1:31" s="14" customFormat="1" ht="20.100000000000001" customHeight="1" x14ac:dyDescent="0.15">
      <c r="A6" s="338" t="s">
        <v>84</v>
      </c>
      <c r="B6" s="329" t="s">
        <v>111</v>
      </c>
      <c r="C6" s="154" t="s">
        <v>101</v>
      </c>
      <c r="D6" s="154">
        <v>1</v>
      </c>
      <c r="E6" s="168">
        <f>SUM(I6,M6,Q6,U6,Y6)</f>
        <v>1</v>
      </c>
      <c r="F6" s="168">
        <f t="shared" ref="F6:G6" si="0">SUM(J6,N6,R6,V6,Z6)</f>
        <v>1</v>
      </c>
      <c r="G6" s="168">
        <f t="shared" si="0"/>
        <v>0</v>
      </c>
      <c r="H6" s="98"/>
      <c r="I6" s="99"/>
      <c r="J6" s="99"/>
      <c r="K6" s="99"/>
      <c r="L6" s="98"/>
      <c r="M6" s="99"/>
      <c r="N6" s="99"/>
      <c r="O6" s="99"/>
      <c r="P6" s="98"/>
      <c r="Q6" s="99"/>
      <c r="R6" s="99"/>
      <c r="S6" s="99"/>
      <c r="T6" s="237">
        <v>44495</v>
      </c>
      <c r="U6" s="238">
        <v>1</v>
      </c>
      <c r="V6" s="238">
        <v>1</v>
      </c>
      <c r="W6" s="238">
        <v>0</v>
      </c>
      <c r="X6" s="148"/>
      <c r="Y6" s="142"/>
      <c r="Z6" s="142"/>
      <c r="AA6" s="143"/>
    </row>
    <row r="7" spans="1:31" s="14" customFormat="1" ht="20.100000000000001" customHeight="1" x14ac:dyDescent="0.15">
      <c r="A7" s="339"/>
      <c r="B7" s="330"/>
      <c r="C7" s="155" t="s">
        <v>121</v>
      </c>
      <c r="D7" s="155">
        <v>2</v>
      </c>
      <c r="E7" s="54">
        <f>SUM(I7,M7,Q7,U7,Y7)</f>
        <v>22</v>
      </c>
      <c r="F7" s="54">
        <f>SUM(J7,N7,R7,V7,Z7)</f>
        <v>37</v>
      </c>
      <c r="G7" s="54">
        <f>SUM(K7,O7,S7,W7,AA7)</f>
        <v>0</v>
      </c>
      <c r="H7" s="55"/>
      <c r="I7" s="56"/>
      <c r="J7" s="56"/>
      <c r="K7" s="56"/>
      <c r="L7" s="55"/>
      <c r="M7" s="56"/>
      <c r="N7" s="56"/>
      <c r="O7" s="56"/>
      <c r="P7" s="55">
        <v>44378</v>
      </c>
      <c r="Q7" s="56">
        <v>22</v>
      </c>
      <c r="R7" s="56">
        <v>22</v>
      </c>
      <c r="S7" s="56">
        <v>0</v>
      </c>
      <c r="T7" s="239">
        <v>44492</v>
      </c>
      <c r="U7" s="240">
        <v>0</v>
      </c>
      <c r="V7" s="240">
        <v>15</v>
      </c>
      <c r="W7" s="240">
        <v>0</v>
      </c>
      <c r="X7" s="149"/>
      <c r="Y7" s="56"/>
      <c r="Z7" s="56"/>
      <c r="AA7" s="57"/>
    </row>
    <row r="8" spans="1:31" s="14" customFormat="1" ht="20.100000000000001" customHeight="1" x14ac:dyDescent="0.15">
      <c r="A8" s="339"/>
      <c r="B8" s="330"/>
      <c r="C8" s="155" t="s">
        <v>146</v>
      </c>
      <c r="D8" s="155">
        <v>3</v>
      </c>
      <c r="E8" s="54">
        <f t="shared" ref="E8:E71" si="1">SUM(I8,M8,Q8,U8,Y8)</f>
        <v>29</v>
      </c>
      <c r="F8" s="54">
        <f t="shared" ref="F8:F71" si="2">SUM(J8,N8,R8,V8,Z8)</f>
        <v>47</v>
      </c>
      <c r="G8" s="54">
        <f t="shared" ref="G8:G71" si="3">SUM(K8,O8,S8,W8,AA8)</f>
        <v>1</v>
      </c>
      <c r="H8" s="55"/>
      <c r="I8" s="56"/>
      <c r="J8" s="56"/>
      <c r="K8" s="56"/>
      <c r="L8" s="55">
        <v>44334</v>
      </c>
      <c r="M8" s="56">
        <v>21</v>
      </c>
      <c r="N8" s="56">
        <v>21</v>
      </c>
      <c r="O8" s="56">
        <v>0</v>
      </c>
      <c r="P8" s="55">
        <v>44396</v>
      </c>
      <c r="Q8" s="56">
        <v>2</v>
      </c>
      <c r="R8" s="56">
        <v>12</v>
      </c>
      <c r="S8" s="56">
        <v>0</v>
      </c>
      <c r="T8" s="239">
        <v>44498</v>
      </c>
      <c r="U8" s="240">
        <v>6</v>
      </c>
      <c r="V8" s="240">
        <v>14</v>
      </c>
      <c r="W8" s="240">
        <v>1</v>
      </c>
      <c r="X8" s="149"/>
      <c r="Y8" s="56"/>
      <c r="Z8" s="56"/>
      <c r="AA8" s="57"/>
    </row>
    <row r="9" spans="1:31" s="14" customFormat="1" ht="20.100000000000001" customHeight="1" x14ac:dyDescent="0.15">
      <c r="A9" s="339"/>
      <c r="B9" s="155" t="s">
        <v>52</v>
      </c>
      <c r="C9" s="155" t="s">
        <v>238</v>
      </c>
      <c r="D9" s="155"/>
      <c r="E9" s="54">
        <f t="shared" si="1"/>
        <v>0</v>
      </c>
      <c r="F9" s="54">
        <f t="shared" si="2"/>
        <v>0</v>
      </c>
      <c r="G9" s="54">
        <f t="shared" si="3"/>
        <v>0</v>
      </c>
      <c r="H9" s="55"/>
      <c r="I9" s="56"/>
      <c r="J9" s="56"/>
      <c r="K9" s="56"/>
      <c r="L9" s="55"/>
      <c r="M9" s="56"/>
      <c r="N9" s="56"/>
      <c r="O9" s="56"/>
      <c r="P9" s="55"/>
      <c r="Q9" s="56"/>
      <c r="R9" s="56"/>
      <c r="S9" s="56"/>
      <c r="T9" s="239"/>
      <c r="U9" s="240"/>
      <c r="V9" s="240"/>
      <c r="W9" s="240"/>
      <c r="X9" s="149"/>
      <c r="Y9" s="56"/>
      <c r="Z9" s="56"/>
      <c r="AA9" s="57"/>
    </row>
    <row r="10" spans="1:31" s="14" customFormat="1" ht="20.100000000000001" customHeight="1" x14ac:dyDescent="0.15">
      <c r="A10" s="339"/>
      <c r="B10" s="330" t="s">
        <v>47</v>
      </c>
      <c r="C10" s="155" t="s">
        <v>86</v>
      </c>
      <c r="D10" s="155"/>
      <c r="E10" s="54">
        <f t="shared" si="1"/>
        <v>0</v>
      </c>
      <c r="F10" s="54">
        <f t="shared" si="2"/>
        <v>0</v>
      </c>
      <c r="G10" s="54">
        <f t="shared" si="3"/>
        <v>0</v>
      </c>
      <c r="H10" s="55"/>
      <c r="I10" s="56"/>
      <c r="J10" s="56"/>
      <c r="K10" s="56"/>
      <c r="L10" s="55"/>
      <c r="M10" s="56"/>
      <c r="N10" s="56"/>
      <c r="O10" s="56"/>
      <c r="P10" s="55"/>
      <c r="Q10" s="56"/>
      <c r="R10" s="56"/>
      <c r="S10" s="56"/>
      <c r="T10" s="239"/>
      <c r="U10" s="240"/>
      <c r="V10" s="240"/>
      <c r="W10" s="240"/>
      <c r="X10" s="149"/>
      <c r="Y10" s="56"/>
      <c r="Z10" s="56"/>
      <c r="AA10" s="57"/>
    </row>
    <row r="11" spans="1:31" s="14" customFormat="1" ht="20.100000000000001" customHeight="1" x14ac:dyDescent="0.15">
      <c r="A11" s="339"/>
      <c r="B11" s="330"/>
      <c r="C11" s="155" t="s">
        <v>114</v>
      </c>
      <c r="D11" s="155">
        <v>3</v>
      </c>
      <c r="E11" s="54">
        <f t="shared" si="1"/>
        <v>10</v>
      </c>
      <c r="F11" s="54">
        <f t="shared" si="2"/>
        <v>22</v>
      </c>
      <c r="G11" s="54">
        <f t="shared" si="3"/>
        <v>2</v>
      </c>
      <c r="H11" s="55"/>
      <c r="I11" s="56"/>
      <c r="J11" s="56"/>
      <c r="K11" s="56"/>
      <c r="L11" s="55">
        <v>44336</v>
      </c>
      <c r="M11" s="56">
        <v>7</v>
      </c>
      <c r="N11" s="56">
        <v>7</v>
      </c>
      <c r="O11" s="56">
        <v>1</v>
      </c>
      <c r="P11" s="55">
        <v>44392</v>
      </c>
      <c r="Q11" s="56">
        <v>1</v>
      </c>
      <c r="R11" s="56">
        <v>6</v>
      </c>
      <c r="S11" s="56">
        <v>1</v>
      </c>
      <c r="T11" s="239">
        <v>44492</v>
      </c>
      <c r="U11" s="240">
        <v>2</v>
      </c>
      <c r="V11" s="240">
        <v>9</v>
      </c>
      <c r="W11" s="240">
        <v>0</v>
      </c>
      <c r="X11" s="149"/>
      <c r="Y11" s="56"/>
      <c r="Z11" s="56"/>
      <c r="AA11" s="57"/>
    </row>
    <row r="12" spans="1:31" s="14" customFormat="1" ht="20.100000000000001" customHeight="1" x14ac:dyDescent="0.15">
      <c r="A12" s="339"/>
      <c r="B12" s="330"/>
      <c r="C12" s="155" t="s">
        <v>139</v>
      </c>
      <c r="D12" s="155">
        <v>3</v>
      </c>
      <c r="E12" s="54">
        <f t="shared" si="1"/>
        <v>6</v>
      </c>
      <c r="F12" s="54">
        <f t="shared" si="2"/>
        <v>17</v>
      </c>
      <c r="G12" s="54">
        <f t="shared" si="3"/>
        <v>0</v>
      </c>
      <c r="H12" s="55"/>
      <c r="I12" s="56"/>
      <c r="J12" s="56"/>
      <c r="K12" s="56"/>
      <c r="L12" s="55">
        <v>44342</v>
      </c>
      <c r="M12" s="56">
        <v>6</v>
      </c>
      <c r="N12" s="56">
        <v>6</v>
      </c>
      <c r="O12" s="56">
        <v>0</v>
      </c>
      <c r="P12" s="55">
        <v>44477</v>
      </c>
      <c r="Q12" s="56">
        <v>0</v>
      </c>
      <c r="R12" s="56">
        <v>5</v>
      </c>
      <c r="S12" s="56">
        <v>0</v>
      </c>
      <c r="T12" s="239">
        <v>44538</v>
      </c>
      <c r="U12" s="240">
        <v>0</v>
      </c>
      <c r="V12" s="240">
        <v>6</v>
      </c>
      <c r="W12" s="240">
        <v>0</v>
      </c>
      <c r="X12" s="149"/>
      <c r="Y12" s="56"/>
      <c r="Z12" s="56"/>
      <c r="AA12" s="57"/>
    </row>
    <row r="13" spans="1:31" s="14" customFormat="1" ht="20.100000000000001" customHeight="1" x14ac:dyDescent="0.15">
      <c r="A13" s="339"/>
      <c r="B13" s="330"/>
      <c r="C13" s="155" t="s">
        <v>126</v>
      </c>
      <c r="D13" s="155">
        <v>3</v>
      </c>
      <c r="E13" s="54">
        <f t="shared" si="1"/>
        <v>8</v>
      </c>
      <c r="F13" s="54">
        <f t="shared" si="2"/>
        <v>21</v>
      </c>
      <c r="G13" s="54">
        <f t="shared" si="3"/>
        <v>0</v>
      </c>
      <c r="H13" s="55">
        <v>44291</v>
      </c>
      <c r="I13" s="56">
        <v>5</v>
      </c>
      <c r="J13" s="56">
        <v>5</v>
      </c>
      <c r="K13" s="56">
        <v>0</v>
      </c>
      <c r="L13" s="55"/>
      <c r="M13" s="56"/>
      <c r="N13" s="56"/>
      <c r="O13" s="56"/>
      <c r="P13" s="55">
        <v>44477</v>
      </c>
      <c r="Q13" s="56">
        <v>3</v>
      </c>
      <c r="R13" s="56">
        <v>8</v>
      </c>
      <c r="S13" s="56">
        <v>0</v>
      </c>
      <c r="T13" s="239">
        <v>44538</v>
      </c>
      <c r="U13" s="240">
        <v>0</v>
      </c>
      <c r="V13" s="240">
        <v>8</v>
      </c>
      <c r="W13" s="240">
        <v>0</v>
      </c>
      <c r="X13" s="149"/>
      <c r="Y13" s="56"/>
      <c r="Z13" s="56"/>
      <c r="AA13" s="57"/>
    </row>
    <row r="14" spans="1:31" s="14" customFormat="1" ht="20.100000000000001" customHeight="1" x14ac:dyDescent="0.15">
      <c r="A14" s="339"/>
      <c r="B14" s="330"/>
      <c r="C14" s="155" t="s">
        <v>48</v>
      </c>
      <c r="D14" s="155">
        <v>3</v>
      </c>
      <c r="E14" s="54">
        <f t="shared" si="1"/>
        <v>6</v>
      </c>
      <c r="F14" s="54">
        <f t="shared" si="2"/>
        <v>8</v>
      </c>
      <c r="G14" s="54">
        <f t="shared" si="3"/>
        <v>1</v>
      </c>
      <c r="H14" s="55">
        <v>44280</v>
      </c>
      <c r="I14" s="56">
        <v>2</v>
      </c>
      <c r="J14" s="56">
        <v>2</v>
      </c>
      <c r="K14" s="56">
        <v>0</v>
      </c>
      <c r="L14" s="55">
        <v>44342</v>
      </c>
      <c r="M14" s="56">
        <v>4</v>
      </c>
      <c r="N14" s="56">
        <v>4</v>
      </c>
      <c r="O14" s="56">
        <v>1</v>
      </c>
      <c r="P14" s="55"/>
      <c r="Q14" s="56"/>
      <c r="R14" s="56"/>
      <c r="S14" s="56"/>
      <c r="T14" s="239">
        <v>44537</v>
      </c>
      <c r="U14" s="240">
        <v>0</v>
      </c>
      <c r="V14" s="240">
        <v>2</v>
      </c>
      <c r="W14" s="240">
        <v>0</v>
      </c>
      <c r="X14" s="149"/>
      <c r="Y14" s="56"/>
      <c r="Z14" s="56"/>
      <c r="AA14" s="57"/>
    </row>
    <row r="15" spans="1:31" s="14" customFormat="1" ht="20.100000000000001" customHeight="1" x14ac:dyDescent="0.15">
      <c r="A15" s="339"/>
      <c r="B15" s="330"/>
      <c r="C15" s="155" t="s">
        <v>145</v>
      </c>
      <c r="D15" s="155">
        <v>3</v>
      </c>
      <c r="E15" s="54">
        <f t="shared" si="1"/>
        <v>9</v>
      </c>
      <c r="F15" s="54">
        <f t="shared" si="2"/>
        <v>11</v>
      </c>
      <c r="G15" s="54">
        <f t="shared" si="3"/>
        <v>1</v>
      </c>
      <c r="H15" s="55">
        <v>44280</v>
      </c>
      <c r="I15" s="56">
        <v>2</v>
      </c>
      <c r="J15" s="56">
        <v>2</v>
      </c>
      <c r="K15" s="56">
        <v>0</v>
      </c>
      <c r="L15" s="55">
        <v>44347</v>
      </c>
      <c r="M15" s="56">
        <v>7</v>
      </c>
      <c r="N15" s="56">
        <v>7</v>
      </c>
      <c r="O15" s="56">
        <v>1</v>
      </c>
      <c r="P15" s="55"/>
      <c r="Q15" s="56"/>
      <c r="R15" s="56"/>
      <c r="S15" s="56"/>
      <c r="T15" s="239">
        <v>44537</v>
      </c>
      <c r="U15" s="240">
        <v>0</v>
      </c>
      <c r="V15" s="240">
        <v>2</v>
      </c>
      <c r="W15" s="240">
        <v>0</v>
      </c>
      <c r="X15" s="149"/>
      <c r="Y15" s="56"/>
      <c r="Z15" s="56"/>
      <c r="AA15" s="57"/>
    </row>
    <row r="16" spans="1:31" s="14" customFormat="1" ht="20.100000000000001" customHeight="1" x14ac:dyDescent="0.15">
      <c r="A16" s="339"/>
      <c r="B16" s="330" t="s">
        <v>89</v>
      </c>
      <c r="C16" s="159" t="s">
        <v>214</v>
      </c>
      <c r="D16" s="155">
        <v>3</v>
      </c>
      <c r="E16" s="54">
        <f t="shared" si="1"/>
        <v>6</v>
      </c>
      <c r="F16" s="54">
        <f t="shared" si="2"/>
        <v>7</v>
      </c>
      <c r="G16" s="54">
        <f t="shared" si="3"/>
        <v>2</v>
      </c>
      <c r="H16" s="55"/>
      <c r="I16" s="56"/>
      <c r="J16" s="56"/>
      <c r="K16" s="56"/>
      <c r="L16" s="55">
        <v>44370</v>
      </c>
      <c r="M16" s="56">
        <v>3</v>
      </c>
      <c r="N16" s="56">
        <v>3</v>
      </c>
      <c r="O16" s="56">
        <v>1</v>
      </c>
      <c r="P16" s="55">
        <v>44491</v>
      </c>
      <c r="Q16" s="56">
        <v>1</v>
      </c>
      <c r="R16" s="56">
        <v>1</v>
      </c>
      <c r="S16" s="56">
        <v>0</v>
      </c>
      <c r="T16" s="239">
        <v>44529</v>
      </c>
      <c r="U16" s="240">
        <v>2</v>
      </c>
      <c r="V16" s="240">
        <v>3</v>
      </c>
      <c r="W16" s="240">
        <v>1</v>
      </c>
      <c r="X16" s="149"/>
      <c r="Y16" s="56"/>
      <c r="Z16" s="56"/>
      <c r="AA16" s="57"/>
    </row>
    <row r="17" spans="1:27" s="14" customFormat="1" ht="20.100000000000001" customHeight="1" x14ac:dyDescent="0.15">
      <c r="A17" s="339"/>
      <c r="B17" s="330"/>
      <c r="C17" s="159" t="s">
        <v>201</v>
      </c>
      <c r="D17" s="155">
        <v>2</v>
      </c>
      <c r="E17" s="54">
        <f t="shared" si="1"/>
        <v>9</v>
      </c>
      <c r="F17" s="54">
        <f t="shared" si="2"/>
        <v>11</v>
      </c>
      <c r="G17" s="54">
        <f t="shared" si="3"/>
        <v>1</v>
      </c>
      <c r="H17" s="55"/>
      <c r="I17" s="56"/>
      <c r="J17" s="56"/>
      <c r="K17" s="56"/>
      <c r="L17" s="55">
        <v>44370</v>
      </c>
      <c r="M17" s="56">
        <v>3</v>
      </c>
      <c r="N17" s="56">
        <v>3</v>
      </c>
      <c r="O17" s="56">
        <v>1</v>
      </c>
      <c r="P17" s="55">
        <v>44491</v>
      </c>
      <c r="Q17" s="56">
        <v>3</v>
      </c>
      <c r="R17" s="56">
        <v>4</v>
      </c>
      <c r="S17" s="56">
        <v>0</v>
      </c>
      <c r="T17" s="239">
        <v>44529</v>
      </c>
      <c r="U17" s="240">
        <v>3</v>
      </c>
      <c r="V17" s="240">
        <v>4</v>
      </c>
      <c r="W17" s="240">
        <v>0</v>
      </c>
      <c r="X17" s="149"/>
      <c r="Y17" s="56"/>
      <c r="Z17" s="56"/>
      <c r="AA17" s="57"/>
    </row>
    <row r="18" spans="1:27" s="14" customFormat="1" ht="20.100000000000001" customHeight="1" x14ac:dyDescent="0.15">
      <c r="A18" s="339"/>
      <c r="B18" s="330" t="s">
        <v>97</v>
      </c>
      <c r="C18" s="155" t="s">
        <v>21</v>
      </c>
      <c r="D18" s="155">
        <v>3</v>
      </c>
      <c r="E18" s="54">
        <f t="shared" si="1"/>
        <v>6</v>
      </c>
      <c r="F18" s="54">
        <f t="shared" si="2"/>
        <v>11</v>
      </c>
      <c r="G18" s="54">
        <f t="shared" si="3"/>
        <v>0</v>
      </c>
      <c r="H18" s="55">
        <v>44294</v>
      </c>
      <c r="I18" s="56">
        <v>3</v>
      </c>
      <c r="J18" s="56">
        <v>3</v>
      </c>
      <c r="K18" s="56">
        <v>0</v>
      </c>
      <c r="L18" s="55">
        <v>44371</v>
      </c>
      <c r="M18" s="56">
        <v>3</v>
      </c>
      <c r="N18" s="56">
        <v>5</v>
      </c>
      <c r="O18" s="56">
        <v>0</v>
      </c>
      <c r="P18" s="55"/>
      <c r="Q18" s="56"/>
      <c r="R18" s="56"/>
      <c r="S18" s="56"/>
      <c r="T18" s="239">
        <v>44495</v>
      </c>
      <c r="U18" s="240">
        <v>0</v>
      </c>
      <c r="V18" s="240">
        <v>3</v>
      </c>
      <c r="W18" s="240">
        <v>0</v>
      </c>
      <c r="X18" s="149"/>
      <c r="Y18" s="56"/>
      <c r="Z18" s="56"/>
      <c r="AA18" s="57"/>
    </row>
    <row r="19" spans="1:27" s="14" customFormat="1" ht="20.100000000000001" customHeight="1" x14ac:dyDescent="0.15">
      <c r="A19" s="339"/>
      <c r="B19" s="330"/>
      <c r="C19" s="155" t="s">
        <v>35</v>
      </c>
      <c r="D19" s="155">
        <v>3</v>
      </c>
      <c r="E19" s="54">
        <f t="shared" si="1"/>
        <v>12</v>
      </c>
      <c r="F19" s="54">
        <f t="shared" si="2"/>
        <v>20</v>
      </c>
      <c r="G19" s="54">
        <f t="shared" si="3"/>
        <v>1</v>
      </c>
      <c r="H19" s="55"/>
      <c r="I19" s="56"/>
      <c r="J19" s="56"/>
      <c r="K19" s="56"/>
      <c r="L19" s="55">
        <v>44314</v>
      </c>
      <c r="M19" s="56">
        <v>5</v>
      </c>
      <c r="N19" s="56">
        <v>5</v>
      </c>
      <c r="O19" s="56">
        <v>0</v>
      </c>
      <c r="P19" s="55">
        <v>44384</v>
      </c>
      <c r="Q19" s="56">
        <v>5</v>
      </c>
      <c r="R19" s="56">
        <v>7</v>
      </c>
      <c r="S19" s="56">
        <v>0</v>
      </c>
      <c r="T19" s="239">
        <v>44496</v>
      </c>
      <c r="U19" s="240">
        <v>2</v>
      </c>
      <c r="V19" s="240">
        <v>8</v>
      </c>
      <c r="W19" s="240">
        <v>1</v>
      </c>
      <c r="X19" s="149"/>
      <c r="Y19" s="56"/>
      <c r="Z19" s="56"/>
      <c r="AA19" s="57"/>
    </row>
    <row r="20" spans="1:27" s="14" customFormat="1" ht="20.100000000000001" customHeight="1" x14ac:dyDescent="0.15">
      <c r="A20" s="339"/>
      <c r="B20" s="330"/>
      <c r="C20" s="155" t="s">
        <v>4</v>
      </c>
      <c r="D20" s="155">
        <v>3</v>
      </c>
      <c r="E20" s="54">
        <f t="shared" si="1"/>
        <v>11</v>
      </c>
      <c r="F20" s="54">
        <f t="shared" si="2"/>
        <v>18</v>
      </c>
      <c r="G20" s="54">
        <f t="shared" si="3"/>
        <v>2</v>
      </c>
      <c r="H20" s="55"/>
      <c r="I20" s="56"/>
      <c r="J20" s="56"/>
      <c r="K20" s="56"/>
      <c r="L20" s="55">
        <v>44308</v>
      </c>
      <c r="M20" s="56">
        <v>6</v>
      </c>
      <c r="N20" s="56">
        <v>6</v>
      </c>
      <c r="O20" s="56">
        <v>1</v>
      </c>
      <c r="P20" s="55">
        <v>44382</v>
      </c>
      <c r="Q20" s="56">
        <v>2</v>
      </c>
      <c r="R20" s="56">
        <v>5</v>
      </c>
      <c r="S20" s="56">
        <v>0</v>
      </c>
      <c r="T20" s="239">
        <v>44496</v>
      </c>
      <c r="U20" s="240">
        <v>3</v>
      </c>
      <c r="V20" s="240">
        <v>7</v>
      </c>
      <c r="W20" s="240">
        <v>1</v>
      </c>
      <c r="X20" s="149"/>
      <c r="Y20" s="56"/>
      <c r="Z20" s="56"/>
      <c r="AA20" s="57"/>
    </row>
    <row r="21" spans="1:27" s="14" customFormat="1" ht="20.100000000000001" customHeight="1" x14ac:dyDescent="0.15">
      <c r="A21" s="339"/>
      <c r="B21" s="330" t="s">
        <v>92</v>
      </c>
      <c r="C21" s="155" t="s">
        <v>23</v>
      </c>
      <c r="D21" s="155">
        <v>1</v>
      </c>
      <c r="E21" s="54">
        <f t="shared" si="1"/>
        <v>3</v>
      </c>
      <c r="F21" s="54">
        <f t="shared" si="2"/>
        <v>3</v>
      </c>
      <c r="G21" s="54">
        <f t="shared" si="3"/>
        <v>0</v>
      </c>
      <c r="H21" s="55"/>
      <c r="I21" s="56"/>
      <c r="J21" s="56"/>
      <c r="K21" s="56"/>
      <c r="L21" s="55">
        <v>44371</v>
      </c>
      <c r="M21" s="56">
        <v>3</v>
      </c>
      <c r="N21" s="56">
        <v>3</v>
      </c>
      <c r="O21" s="56">
        <v>0</v>
      </c>
      <c r="P21" s="55"/>
      <c r="Q21" s="56"/>
      <c r="R21" s="56"/>
      <c r="S21" s="56"/>
      <c r="T21" s="239"/>
      <c r="U21" s="240"/>
      <c r="V21" s="240"/>
      <c r="W21" s="240"/>
      <c r="X21" s="149"/>
      <c r="Y21" s="56"/>
      <c r="Z21" s="56"/>
      <c r="AA21" s="57"/>
    </row>
    <row r="22" spans="1:27" s="14" customFormat="1" ht="20.100000000000001" customHeight="1" x14ac:dyDescent="0.15">
      <c r="A22" s="339"/>
      <c r="B22" s="330"/>
      <c r="C22" s="155" t="s">
        <v>124</v>
      </c>
      <c r="D22" s="155">
        <v>3</v>
      </c>
      <c r="E22" s="54">
        <f t="shared" si="1"/>
        <v>4</v>
      </c>
      <c r="F22" s="54">
        <f t="shared" si="2"/>
        <v>10</v>
      </c>
      <c r="G22" s="54">
        <f t="shared" si="3"/>
        <v>1</v>
      </c>
      <c r="H22" s="55"/>
      <c r="I22" s="56"/>
      <c r="J22" s="56"/>
      <c r="K22" s="56"/>
      <c r="L22" s="55">
        <v>44308</v>
      </c>
      <c r="M22" s="56">
        <v>2</v>
      </c>
      <c r="N22" s="56">
        <v>2</v>
      </c>
      <c r="O22" s="56">
        <v>0</v>
      </c>
      <c r="P22" s="55">
        <v>44377</v>
      </c>
      <c r="Q22" s="56">
        <v>2</v>
      </c>
      <c r="R22" s="56">
        <v>4</v>
      </c>
      <c r="S22" s="56">
        <v>1</v>
      </c>
      <c r="T22" s="239">
        <v>44496</v>
      </c>
      <c r="U22" s="240">
        <v>0</v>
      </c>
      <c r="V22" s="240">
        <v>4</v>
      </c>
      <c r="W22" s="240">
        <v>0</v>
      </c>
      <c r="X22" s="149"/>
      <c r="Y22" s="56"/>
      <c r="Z22" s="56"/>
      <c r="AA22" s="57"/>
    </row>
    <row r="23" spans="1:27" s="14" customFormat="1" ht="20.100000000000001" customHeight="1" x14ac:dyDescent="0.15">
      <c r="A23" s="339"/>
      <c r="B23" s="330"/>
      <c r="C23" s="155" t="s">
        <v>32</v>
      </c>
      <c r="D23" s="155"/>
      <c r="E23" s="54">
        <f t="shared" si="1"/>
        <v>0</v>
      </c>
      <c r="F23" s="54">
        <f t="shared" si="2"/>
        <v>0</v>
      </c>
      <c r="G23" s="54">
        <f t="shared" si="3"/>
        <v>0</v>
      </c>
      <c r="H23" s="55"/>
      <c r="I23" s="56"/>
      <c r="J23" s="56"/>
      <c r="K23" s="56"/>
      <c r="L23" s="55"/>
      <c r="M23" s="56"/>
      <c r="N23" s="56"/>
      <c r="O23" s="56"/>
      <c r="P23" s="55"/>
      <c r="Q23" s="56"/>
      <c r="R23" s="56"/>
      <c r="S23" s="56"/>
      <c r="T23" s="239"/>
      <c r="U23" s="240"/>
      <c r="V23" s="240"/>
      <c r="W23" s="240"/>
      <c r="X23" s="149"/>
      <c r="Y23" s="56"/>
      <c r="Z23" s="56"/>
      <c r="AA23" s="57"/>
    </row>
    <row r="24" spans="1:27" s="14" customFormat="1" ht="20.100000000000001" customHeight="1" x14ac:dyDescent="0.15">
      <c r="A24" s="343" t="s">
        <v>8</v>
      </c>
      <c r="B24" s="155" t="s">
        <v>59</v>
      </c>
      <c r="C24" s="155" t="s">
        <v>39</v>
      </c>
      <c r="D24" s="155"/>
      <c r="E24" s="54">
        <f t="shared" si="1"/>
        <v>0</v>
      </c>
      <c r="F24" s="54">
        <f t="shared" si="2"/>
        <v>0</v>
      </c>
      <c r="G24" s="54">
        <f t="shared" si="3"/>
        <v>0</v>
      </c>
      <c r="H24" s="55"/>
      <c r="I24" s="56"/>
      <c r="J24" s="56"/>
      <c r="K24" s="56"/>
      <c r="L24" s="55"/>
      <c r="M24" s="56"/>
      <c r="N24" s="56"/>
      <c r="O24" s="56"/>
      <c r="P24" s="55"/>
      <c r="Q24" s="56"/>
      <c r="R24" s="56"/>
      <c r="S24" s="56"/>
      <c r="T24" s="239"/>
      <c r="U24" s="240"/>
      <c r="V24" s="240"/>
      <c r="W24" s="240"/>
      <c r="X24" s="149"/>
      <c r="Y24" s="56"/>
      <c r="Z24" s="56"/>
      <c r="AA24" s="57"/>
    </row>
    <row r="25" spans="1:27" s="14" customFormat="1" ht="20.100000000000001" customHeight="1" x14ac:dyDescent="0.15">
      <c r="A25" s="344"/>
      <c r="B25" s="155" t="s">
        <v>102</v>
      </c>
      <c r="C25" s="155" t="s">
        <v>16</v>
      </c>
      <c r="D25" s="58">
        <v>1</v>
      </c>
      <c r="E25" s="54">
        <f t="shared" si="1"/>
        <v>14</v>
      </c>
      <c r="F25" s="54">
        <f t="shared" si="2"/>
        <v>14</v>
      </c>
      <c r="G25" s="54">
        <f t="shared" si="3"/>
        <v>0</v>
      </c>
      <c r="H25" s="55"/>
      <c r="I25" s="56"/>
      <c r="J25" s="56"/>
      <c r="K25" s="56"/>
      <c r="L25" s="55"/>
      <c r="M25" s="56"/>
      <c r="N25" s="56"/>
      <c r="O25" s="56"/>
      <c r="P25" s="55"/>
      <c r="Q25" s="56"/>
      <c r="R25" s="56"/>
      <c r="S25" s="56"/>
      <c r="T25" s="239">
        <v>44503</v>
      </c>
      <c r="U25" s="240">
        <v>14</v>
      </c>
      <c r="V25" s="240">
        <v>14</v>
      </c>
      <c r="W25" s="240">
        <v>0</v>
      </c>
      <c r="X25" s="149"/>
      <c r="Y25" s="56"/>
      <c r="Z25" s="56"/>
      <c r="AA25" s="57"/>
    </row>
    <row r="26" spans="1:27" s="14" customFormat="1" ht="20.100000000000001" customHeight="1" x14ac:dyDescent="0.15">
      <c r="A26" s="339" t="s">
        <v>8</v>
      </c>
      <c r="B26" s="330" t="s">
        <v>102</v>
      </c>
      <c r="C26" s="155" t="s">
        <v>45</v>
      </c>
      <c r="D26" s="155"/>
      <c r="E26" s="54">
        <f t="shared" si="1"/>
        <v>0</v>
      </c>
      <c r="F26" s="54">
        <f t="shared" si="2"/>
        <v>0</v>
      </c>
      <c r="G26" s="54">
        <f t="shared" si="3"/>
        <v>0</v>
      </c>
      <c r="H26" s="55"/>
      <c r="I26" s="56"/>
      <c r="J26" s="56"/>
      <c r="K26" s="56"/>
      <c r="L26" s="55"/>
      <c r="M26" s="56"/>
      <c r="N26" s="56"/>
      <c r="O26" s="56"/>
      <c r="P26" s="55"/>
      <c r="Q26" s="56"/>
      <c r="R26" s="56"/>
      <c r="S26" s="56"/>
      <c r="T26" s="239"/>
      <c r="U26" s="240"/>
      <c r="V26" s="240"/>
      <c r="W26" s="240"/>
      <c r="X26" s="149"/>
      <c r="Y26" s="56"/>
      <c r="Z26" s="56"/>
      <c r="AA26" s="57"/>
    </row>
    <row r="27" spans="1:27" s="14" customFormat="1" ht="20.100000000000001" customHeight="1" x14ac:dyDescent="0.15">
      <c r="A27" s="339"/>
      <c r="B27" s="330"/>
      <c r="C27" s="155" t="s">
        <v>113</v>
      </c>
      <c r="D27" s="155">
        <v>2</v>
      </c>
      <c r="E27" s="54">
        <f t="shared" si="1"/>
        <v>14</v>
      </c>
      <c r="F27" s="54">
        <f t="shared" si="2"/>
        <v>15</v>
      </c>
      <c r="G27" s="54">
        <f t="shared" si="3"/>
        <v>0</v>
      </c>
      <c r="H27" s="55"/>
      <c r="I27" s="56"/>
      <c r="J27" s="56"/>
      <c r="K27" s="56"/>
      <c r="L27" s="55"/>
      <c r="M27" s="56"/>
      <c r="N27" s="56"/>
      <c r="O27" s="56"/>
      <c r="P27" s="55">
        <v>44400</v>
      </c>
      <c r="Q27" s="56">
        <v>5</v>
      </c>
      <c r="R27" s="56">
        <v>5</v>
      </c>
      <c r="S27" s="56">
        <v>0</v>
      </c>
      <c r="T27" s="239">
        <v>44502</v>
      </c>
      <c r="U27" s="240">
        <v>9</v>
      </c>
      <c r="V27" s="240">
        <v>10</v>
      </c>
      <c r="W27" s="240">
        <v>0</v>
      </c>
      <c r="X27" s="149"/>
      <c r="Y27" s="56"/>
      <c r="Z27" s="56"/>
      <c r="AA27" s="57"/>
    </row>
    <row r="28" spans="1:27" s="14" customFormat="1" ht="20.100000000000001" customHeight="1" x14ac:dyDescent="0.15">
      <c r="A28" s="339" t="s">
        <v>84</v>
      </c>
      <c r="B28" s="330" t="s">
        <v>10</v>
      </c>
      <c r="C28" s="155" t="s">
        <v>138</v>
      </c>
      <c r="D28" s="155">
        <v>3</v>
      </c>
      <c r="E28" s="54">
        <f t="shared" si="1"/>
        <v>8</v>
      </c>
      <c r="F28" s="54">
        <f t="shared" si="2"/>
        <v>12</v>
      </c>
      <c r="G28" s="54">
        <f t="shared" si="3"/>
        <v>1</v>
      </c>
      <c r="H28" s="55"/>
      <c r="I28" s="56"/>
      <c r="J28" s="56"/>
      <c r="K28" s="56"/>
      <c r="L28" s="55">
        <v>44328</v>
      </c>
      <c r="M28" s="56">
        <v>7</v>
      </c>
      <c r="N28" s="56">
        <v>7</v>
      </c>
      <c r="O28" s="56">
        <v>1</v>
      </c>
      <c r="P28" s="55"/>
      <c r="Q28" s="56"/>
      <c r="R28" s="56"/>
      <c r="S28" s="56"/>
      <c r="T28" s="239">
        <v>44533</v>
      </c>
      <c r="U28" s="240">
        <v>1</v>
      </c>
      <c r="V28" s="240">
        <v>5</v>
      </c>
      <c r="W28" s="240">
        <v>0</v>
      </c>
      <c r="X28" s="149"/>
      <c r="Y28" s="56"/>
      <c r="Z28" s="56"/>
      <c r="AA28" s="57"/>
    </row>
    <row r="29" spans="1:27" s="14" customFormat="1" ht="20.100000000000001" customHeight="1" x14ac:dyDescent="0.15">
      <c r="A29" s="339"/>
      <c r="B29" s="330"/>
      <c r="C29" s="155" t="s">
        <v>77</v>
      </c>
      <c r="D29" s="155">
        <v>2</v>
      </c>
      <c r="E29" s="54">
        <f t="shared" si="1"/>
        <v>2</v>
      </c>
      <c r="F29" s="54">
        <f t="shared" si="2"/>
        <v>4</v>
      </c>
      <c r="G29" s="54">
        <f t="shared" si="3"/>
        <v>0</v>
      </c>
      <c r="H29" s="55"/>
      <c r="I29" s="56"/>
      <c r="J29" s="56"/>
      <c r="K29" s="56"/>
      <c r="L29" s="55"/>
      <c r="M29" s="56"/>
      <c r="N29" s="56"/>
      <c r="O29" s="56"/>
      <c r="P29" s="55">
        <v>44376</v>
      </c>
      <c r="Q29" s="56">
        <v>2</v>
      </c>
      <c r="R29" s="56">
        <v>3</v>
      </c>
      <c r="S29" s="56">
        <v>0</v>
      </c>
      <c r="T29" s="239">
        <v>44501</v>
      </c>
      <c r="U29" s="240">
        <v>0</v>
      </c>
      <c r="V29" s="240">
        <v>1</v>
      </c>
      <c r="W29" s="240">
        <v>0</v>
      </c>
      <c r="X29" s="149"/>
      <c r="Y29" s="56"/>
      <c r="Z29" s="56"/>
      <c r="AA29" s="57"/>
    </row>
    <row r="30" spans="1:27" s="14" customFormat="1" ht="20.100000000000001" customHeight="1" x14ac:dyDescent="0.15">
      <c r="A30" s="339"/>
      <c r="B30" s="330"/>
      <c r="C30" s="155" t="s">
        <v>76</v>
      </c>
      <c r="D30" s="155">
        <v>2</v>
      </c>
      <c r="E30" s="54">
        <f t="shared" si="1"/>
        <v>10</v>
      </c>
      <c r="F30" s="54">
        <f t="shared" si="2"/>
        <v>14</v>
      </c>
      <c r="G30" s="54">
        <f t="shared" si="3"/>
        <v>1</v>
      </c>
      <c r="H30" s="55">
        <v>44292</v>
      </c>
      <c r="I30" s="56">
        <v>6</v>
      </c>
      <c r="J30" s="56">
        <v>6</v>
      </c>
      <c r="K30" s="56">
        <v>0</v>
      </c>
      <c r="L30" s="55"/>
      <c r="M30" s="56"/>
      <c r="N30" s="56"/>
      <c r="O30" s="56"/>
      <c r="P30" s="55">
        <v>44376</v>
      </c>
      <c r="Q30" s="56">
        <v>1</v>
      </c>
      <c r="R30" s="56">
        <v>1</v>
      </c>
      <c r="S30" s="56">
        <v>0</v>
      </c>
      <c r="T30" s="239">
        <v>44501</v>
      </c>
      <c r="U30" s="240">
        <v>3</v>
      </c>
      <c r="V30" s="240">
        <v>7</v>
      </c>
      <c r="W30" s="240">
        <v>1</v>
      </c>
      <c r="X30" s="149"/>
      <c r="Y30" s="56"/>
      <c r="Z30" s="56"/>
      <c r="AA30" s="57"/>
    </row>
    <row r="31" spans="1:27" s="14" customFormat="1" ht="20.100000000000001" customHeight="1" x14ac:dyDescent="0.15">
      <c r="A31" s="339"/>
      <c r="B31" s="155" t="s">
        <v>104</v>
      </c>
      <c r="C31" s="155" t="s">
        <v>67</v>
      </c>
      <c r="D31" s="155"/>
      <c r="E31" s="54">
        <f t="shared" si="1"/>
        <v>0</v>
      </c>
      <c r="F31" s="54">
        <f t="shared" si="2"/>
        <v>0</v>
      </c>
      <c r="G31" s="54">
        <f t="shared" si="3"/>
        <v>0</v>
      </c>
      <c r="H31" s="55"/>
      <c r="I31" s="56"/>
      <c r="J31" s="56"/>
      <c r="K31" s="56"/>
      <c r="L31" s="55"/>
      <c r="M31" s="56"/>
      <c r="N31" s="56"/>
      <c r="O31" s="56"/>
      <c r="P31" s="55"/>
      <c r="Q31" s="56"/>
      <c r="R31" s="56"/>
      <c r="S31" s="56"/>
      <c r="T31" s="239"/>
      <c r="U31" s="240"/>
      <c r="V31" s="240"/>
      <c r="W31" s="240"/>
      <c r="X31" s="149"/>
      <c r="Y31" s="56"/>
      <c r="Z31" s="56"/>
      <c r="AA31" s="57"/>
    </row>
    <row r="32" spans="1:27" s="14" customFormat="1" ht="20.100000000000001" customHeight="1" x14ac:dyDescent="0.15">
      <c r="A32" s="339"/>
      <c r="B32" s="330" t="s">
        <v>50</v>
      </c>
      <c r="C32" s="155" t="s">
        <v>33</v>
      </c>
      <c r="D32" s="155">
        <v>2</v>
      </c>
      <c r="E32" s="54">
        <f t="shared" si="1"/>
        <v>4</v>
      </c>
      <c r="F32" s="54">
        <f t="shared" si="2"/>
        <v>7</v>
      </c>
      <c r="G32" s="54">
        <f t="shared" si="3"/>
        <v>0</v>
      </c>
      <c r="H32" s="55"/>
      <c r="I32" s="56"/>
      <c r="J32" s="56"/>
      <c r="K32" s="56"/>
      <c r="L32" s="55">
        <v>44333</v>
      </c>
      <c r="M32" s="56">
        <v>3</v>
      </c>
      <c r="N32" s="56">
        <v>3</v>
      </c>
      <c r="O32" s="56">
        <v>0</v>
      </c>
      <c r="P32" s="55"/>
      <c r="Q32" s="56"/>
      <c r="R32" s="56"/>
      <c r="S32" s="56"/>
      <c r="T32" s="239">
        <v>44517</v>
      </c>
      <c r="U32" s="240">
        <v>1</v>
      </c>
      <c r="V32" s="240">
        <v>4</v>
      </c>
      <c r="W32" s="240">
        <v>0</v>
      </c>
      <c r="X32" s="149"/>
      <c r="Y32" s="56"/>
      <c r="Z32" s="56"/>
      <c r="AA32" s="57"/>
    </row>
    <row r="33" spans="1:27" s="14" customFormat="1" ht="20.100000000000001" customHeight="1" x14ac:dyDescent="0.15">
      <c r="A33" s="339"/>
      <c r="B33" s="330"/>
      <c r="C33" s="155" t="s">
        <v>207</v>
      </c>
      <c r="D33" s="155">
        <v>2</v>
      </c>
      <c r="E33" s="54">
        <f t="shared" si="1"/>
        <v>6</v>
      </c>
      <c r="F33" s="54">
        <f t="shared" si="2"/>
        <v>9</v>
      </c>
      <c r="G33" s="54">
        <f t="shared" si="3"/>
        <v>0</v>
      </c>
      <c r="H33" s="55"/>
      <c r="I33" s="56"/>
      <c r="J33" s="56"/>
      <c r="K33" s="56"/>
      <c r="L33" s="55">
        <v>44333</v>
      </c>
      <c r="M33" s="56">
        <v>4</v>
      </c>
      <c r="N33" s="56">
        <v>4</v>
      </c>
      <c r="O33" s="56">
        <v>0</v>
      </c>
      <c r="P33" s="55"/>
      <c r="Q33" s="56"/>
      <c r="R33" s="56"/>
      <c r="S33" s="56"/>
      <c r="T33" s="239">
        <v>44517</v>
      </c>
      <c r="U33" s="240">
        <v>2</v>
      </c>
      <c r="V33" s="240">
        <v>5</v>
      </c>
      <c r="W33" s="240">
        <v>0</v>
      </c>
      <c r="X33" s="149"/>
      <c r="Y33" s="56"/>
      <c r="Z33" s="56"/>
      <c r="AA33" s="57"/>
    </row>
    <row r="34" spans="1:27" s="14" customFormat="1" ht="20.100000000000001" customHeight="1" x14ac:dyDescent="0.15">
      <c r="A34" s="339"/>
      <c r="B34" s="330"/>
      <c r="C34" s="155" t="s">
        <v>196</v>
      </c>
      <c r="D34" s="155">
        <v>2</v>
      </c>
      <c r="E34" s="54">
        <f t="shared" si="1"/>
        <v>12</v>
      </c>
      <c r="F34" s="54">
        <f t="shared" si="2"/>
        <v>20</v>
      </c>
      <c r="G34" s="54">
        <f t="shared" si="3"/>
        <v>4</v>
      </c>
      <c r="H34" s="55"/>
      <c r="I34" s="56"/>
      <c r="J34" s="56"/>
      <c r="K34" s="56"/>
      <c r="L34" s="55">
        <v>44347</v>
      </c>
      <c r="M34" s="56">
        <v>12</v>
      </c>
      <c r="N34" s="56">
        <v>12</v>
      </c>
      <c r="O34" s="56">
        <v>4</v>
      </c>
      <c r="P34" s="55"/>
      <c r="Q34" s="56"/>
      <c r="R34" s="56"/>
      <c r="S34" s="56"/>
      <c r="T34" s="239">
        <v>44517</v>
      </c>
      <c r="U34" s="240">
        <v>0</v>
      </c>
      <c r="V34" s="240">
        <v>8</v>
      </c>
      <c r="W34" s="240">
        <v>0</v>
      </c>
      <c r="X34" s="149"/>
      <c r="Y34" s="56"/>
      <c r="Z34" s="56"/>
      <c r="AA34" s="57"/>
    </row>
    <row r="35" spans="1:27" s="14" customFormat="1" ht="20.100000000000001" customHeight="1" x14ac:dyDescent="0.15">
      <c r="A35" s="339"/>
      <c r="B35" s="155" t="s">
        <v>18</v>
      </c>
      <c r="C35" s="155" t="s">
        <v>124</v>
      </c>
      <c r="D35" s="155">
        <v>1</v>
      </c>
      <c r="E35" s="54">
        <f t="shared" si="1"/>
        <v>2</v>
      </c>
      <c r="F35" s="54">
        <f t="shared" si="2"/>
        <v>2</v>
      </c>
      <c r="G35" s="54">
        <f t="shared" si="3"/>
        <v>0</v>
      </c>
      <c r="H35" s="55"/>
      <c r="I35" s="56"/>
      <c r="J35" s="56"/>
      <c r="K35" s="56"/>
      <c r="L35" s="55"/>
      <c r="M35" s="56"/>
      <c r="N35" s="56"/>
      <c r="O35" s="56"/>
      <c r="P35" s="55">
        <v>44476</v>
      </c>
      <c r="Q35" s="56">
        <v>2</v>
      </c>
      <c r="R35" s="56">
        <v>2</v>
      </c>
      <c r="S35" s="56">
        <v>0</v>
      </c>
      <c r="T35" s="239"/>
      <c r="U35" s="240"/>
      <c r="V35" s="240"/>
      <c r="W35" s="240"/>
      <c r="X35" s="149"/>
      <c r="Y35" s="56"/>
      <c r="Z35" s="56"/>
      <c r="AA35" s="57"/>
    </row>
    <row r="36" spans="1:27" s="14" customFormat="1" ht="20.100000000000001" customHeight="1" x14ac:dyDescent="0.15">
      <c r="A36" s="163" t="s">
        <v>3</v>
      </c>
      <c r="B36" s="155" t="s">
        <v>49</v>
      </c>
      <c r="C36" s="155" t="s">
        <v>11</v>
      </c>
      <c r="D36" s="155">
        <v>2</v>
      </c>
      <c r="E36" s="54">
        <f t="shared" si="1"/>
        <v>15</v>
      </c>
      <c r="F36" s="54">
        <f t="shared" si="2"/>
        <v>15</v>
      </c>
      <c r="G36" s="54">
        <f t="shared" si="3"/>
        <v>0</v>
      </c>
      <c r="H36" s="55"/>
      <c r="I36" s="56"/>
      <c r="J36" s="56"/>
      <c r="K36" s="56"/>
      <c r="L36" s="55">
        <v>44326</v>
      </c>
      <c r="M36" s="56">
        <v>5</v>
      </c>
      <c r="N36" s="56">
        <v>5</v>
      </c>
      <c r="O36" s="56">
        <v>0</v>
      </c>
      <c r="P36" s="55"/>
      <c r="Q36" s="56"/>
      <c r="R36" s="56"/>
      <c r="S36" s="56"/>
      <c r="T36" s="239">
        <v>44501</v>
      </c>
      <c r="U36" s="240">
        <v>10</v>
      </c>
      <c r="V36" s="240">
        <v>10</v>
      </c>
      <c r="W36" s="240">
        <v>0</v>
      </c>
      <c r="X36" s="149"/>
      <c r="Y36" s="56"/>
      <c r="Z36" s="56"/>
      <c r="AA36" s="57"/>
    </row>
    <row r="37" spans="1:27" s="14" customFormat="1" ht="20.100000000000001" customHeight="1" x14ac:dyDescent="0.15">
      <c r="A37" s="339" t="s">
        <v>84</v>
      </c>
      <c r="B37" s="155" t="s">
        <v>123</v>
      </c>
      <c r="C37" s="155" t="s">
        <v>132</v>
      </c>
      <c r="D37" s="155">
        <v>3</v>
      </c>
      <c r="E37" s="54">
        <f t="shared" si="1"/>
        <v>13</v>
      </c>
      <c r="F37" s="54">
        <f t="shared" si="2"/>
        <v>21</v>
      </c>
      <c r="G37" s="54">
        <f t="shared" si="3"/>
        <v>4</v>
      </c>
      <c r="H37" s="55">
        <v>44284</v>
      </c>
      <c r="I37" s="56">
        <v>5</v>
      </c>
      <c r="J37" s="56">
        <v>5</v>
      </c>
      <c r="K37" s="56">
        <v>1</v>
      </c>
      <c r="L37" s="55">
        <v>44356</v>
      </c>
      <c r="M37" s="56">
        <v>7</v>
      </c>
      <c r="N37" s="56">
        <v>7</v>
      </c>
      <c r="O37" s="56">
        <v>1</v>
      </c>
      <c r="P37" s="55"/>
      <c r="Q37" s="56"/>
      <c r="R37" s="56"/>
      <c r="S37" s="56"/>
      <c r="T37" s="239">
        <v>44524</v>
      </c>
      <c r="U37" s="240">
        <v>1</v>
      </c>
      <c r="V37" s="240">
        <v>9</v>
      </c>
      <c r="W37" s="240">
        <v>2</v>
      </c>
      <c r="X37" s="149"/>
      <c r="Y37" s="56"/>
      <c r="Z37" s="56"/>
      <c r="AA37" s="57"/>
    </row>
    <row r="38" spans="1:27" s="14" customFormat="1" ht="20.100000000000001" customHeight="1" x14ac:dyDescent="0.15">
      <c r="A38" s="339"/>
      <c r="B38" s="155" t="s">
        <v>18</v>
      </c>
      <c r="C38" s="155" t="s">
        <v>216</v>
      </c>
      <c r="D38" s="155">
        <v>3</v>
      </c>
      <c r="E38" s="54">
        <f t="shared" si="1"/>
        <v>24</v>
      </c>
      <c r="F38" s="54">
        <f t="shared" si="2"/>
        <v>46</v>
      </c>
      <c r="G38" s="54">
        <f t="shared" si="3"/>
        <v>8</v>
      </c>
      <c r="H38" s="55">
        <v>44284</v>
      </c>
      <c r="I38" s="56">
        <v>4</v>
      </c>
      <c r="J38" s="56">
        <v>4</v>
      </c>
      <c r="K38" s="56">
        <v>2</v>
      </c>
      <c r="L38" s="55">
        <v>44358</v>
      </c>
      <c r="M38" s="56">
        <v>11</v>
      </c>
      <c r="N38" s="56">
        <v>11</v>
      </c>
      <c r="O38" s="56">
        <v>2</v>
      </c>
      <c r="P38" s="55">
        <v>44476</v>
      </c>
      <c r="Q38" s="56">
        <v>9</v>
      </c>
      <c r="R38" s="56">
        <v>20</v>
      </c>
      <c r="S38" s="56">
        <v>3</v>
      </c>
      <c r="T38" s="239">
        <v>44524</v>
      </c>
      <c r="U38" s="240">
        <v>0</v>
      </c>
      <c r="V38" s="240">
        <v>11</v>
      </c>
      <c r="W38" s="240">
        <v>1</v>
      </c>
      <c r="X38" s="149"/>
      <c r="Y38" s="56"/>
      <c r="Z38" s="56"/>
      <c r="AA38" s="57"/>
    </row>
    <row r="39" spans="1:27" s="14" customFormat="1" ht="20.100000000000001" customHeight="1" x14ac:dyDescent="0.15">
      <c r="A39" s="339" t="s">
        <v>107</v>
      </c>
      <c r="B39" s="330" t="s">
        <v>152</v>
      </c>
      <c r="C39" s="155" t="s">
        <v>221</v>
      </c>
      <c r="D39" s="155"/>
      <c r="E39" s="54">
        <f t="shared" si="1"/>
        <v>0</v>
      </c>
      <c r="F39" s="54">
        <f t="shared" si="2"/>
        <v>0</v>
      </c>
      <c r="G39" s="54">
        <f t="shared" si="3"/>
        <v>0</v>
      </c>
      <c r="H39" s="55"/>
      <c r="I39" s="56"/>
      <c r="J39" s="56"/>
      <c r="K39" s="56"/>
      <c r="L39" s="55"/>
      <c r="M39" s="56"/>
      <c r="N39" s="56"/>
      <c r="O39" s="56"/>
      <c r="P39" s="55"/>
      <c r="Q39" s="56"/>
      <c r="R39" s="56"/>
      <c r="S39" s="56"/>
      <c r="T39" s="239"/>
      <c r="U39" s="240"/>
      <c r="V39" s="240"/>
      <c r="W39" s="240"/>
      <c r="X39" s="149"/>
      <c r="Y39" s="56"/>
      <c r="Z39" s="56"/>
      <c r="AA39" s="57"/>
    </row>
    <row r="40" spans="1:27" s="14" customFormat="1" ht="20.100000000000001" customHeight="1" x14ac:dyDescent="0.15">
      <c r="A40" s="339"/>
      <c r="B40" s="330"/>
      <c r="C40" s="155" t="s">
        <v>231</v>
      </c>
      <c r="D40" s="155">
        <v>2</v>
      </c>
      <c r="E40" s="54">
        <f t="shared" si="1"/>
        <v>7</v>
      </c>
      <c r="F40" s="54">
        <f t="shared" si="2"/>
        <v>11</v>
      </c>
      <c r="G40" s="54">
        <f t="shared" si="3"/>
        <v>2</v>
      </c>
      <c r="H40" s="55"/>
      <c r="I40" s="56"/>
      <c r="J40" s="56"/>
      <c r="K40" s="56"/>
      <c r="L40" s="55">
        <v>44355</v>
      </c>
      <c r="M40" s="56">
        <v>4</v>
      </c>
      <c r="N40" s="56">
        <v>4</v>
      </c>
      <c r="O40" s="56">
        <v>0</v>
      </c>
      <c r="P40" s="55"/>
      <c r="Q40" s="56"/>
      <c r="R40" s="56"/>
      <c r="S40" s="56"/>
      <c r="T40" s="239">
        <v>44504</v>
      </c>
      <c r="U40" s="240">
        <v>3</v>
      </c>
      <c r="V40" s="240">
        <v>7</v>
      </c>
      <c r="W40" s="240">
        <v>2</v>
      </c>
      <c r="X40" s="149"/>
      <c r="Y40" s="56"/>
      <c r="Z40" s="56"/>
      <c r="AA40" s="57"/>
    </row>
    <row r="41" spans="1:27" s="14" customFormat="1" ht="20.100000000000001" customHeight="1" x14ac:dyDescent="0.15">
      <c r="A41" s="339"/>
      <c r="B41" s="330"/>
      <c r="C41" s="155" t="s">
        <v>150</v>
      </c>
      <c r="D41" s="155"/>
      <c r="E41" s="54">
        <f t="shared" si="1"/>
        <v>0</v>
      </c>
      <c r="F41" s="54">
        <f t="shared" si="2"/>
        <v>0</v>
      </c>
      <c r="G41" s="54">
        <f t="shared" si="3"/>
        <v>0</v>
      </c>
      <c r="H41" s="55"/>
      <c r="I41" s="56"/>
      <c r="J41" s="56"/>
      <c r="K41" s="56"/>
      <c r="L41" s="55"/>
      <c r="M41" s="56"/>
      <c r="N41" s="56"/>
      <c r="O41" s="56"/>
      <c r="P41" s="55"/>
      <c r="Q41" s="56"/>
      <c r="R41" s="56"/>
      <c r="S41" s="56"/>
      <c r="T41" s="239"/>
      <c r="U41" s="240"/>
      <c r="V41" s="240"/>
      <c r="W41" s="240"/>
      <c r="X41" s="149"/>
      <c r="Y41" s="56"/>
      <c r="Z41" s="56"/>
      <c r="AA41" s="57"/>
    </row>
    <row r="42" spans="1:27" s="14" customFormat="1" ht="20.100000000000001" customHeight="1" x14ac:dyDescent="0.15">
      <c r="A42" s="339"/>
      <c r="B42" s="330"/>
      <c r="C42" s="155" t="s">
        <v>144</v>
      </c>
      <c r="D42" s="155"/>
      <c r="E42" s="54">
        <f t="shared" si="1"/>
        <v>0</v>
      </c>
      <c r="F42" s="54">
        <f t="shared" si="2"/>
        <v>0</v>
      </c>
      <c r="G42" s="54">
        <f t="shared" si="3"/>
        <v>0</v>
      </c>
      <c r="H42" s="55"/>
      <c r="I42" s="56"/>
      <c r="J42" s="56"/>
      <c r="K42" s="56"/>
      <c r="L42" s="55"/>
      <c r="M42" s="56"/>
      <c r="N42" s="56"/>
      <c r="O42" s="56"/>
      <c r="P42" s="55"/>
      <c r="Q42" s="56"/>
      <c r="R42" s="56"/>
      <c r="S42" s="56"/>
      <c r="T42" s="239"/>
      <c r="U42" s="240"/>
      <c r="V42" s="240"/>
      <c r="W42" s="240"/>
      <c r="X42" s="149"/>
      <c r="Y42" s="56"/>
      <c r="Z42" s="56"/>
      <c r="AA42" s="57"/>
    </row>
    <row r="43" spans="1:27" s="14" customFormat="1" ht="20.100000000000001" customHeight="1" x14ac:dyDescent="0.15">
      <c r="A43" s="339" t="s">
        <v>84</v>
      </c>
      <c r="B43" s="347" t="s">
        <v>183</v>
      </c>
      <c r="C43" s="155" t="s">
        <v>14</v>
      </c>
      <c r="D43" s="155">
        <v>2</v>
      </c>
      <c r="E43" s="54">
        <f t="shared" si="1"/>
        <v>22</v>
      </c>
      <c r="F43" s="54">
        <f t="shared" si="2"/>
        <v>28</v>
      </c>
      <c r="G43" s="54">
        <f t="shared" si="3"/>
        <v>1</v>
      </c>
      <c r="H43" s="55">
        <v>44313</v>
      </c>
      <c r="I43" s="56">
        <v>14</v>
      </c>
      <c r="J43" s="56">
        <v>14</v>
      </c>
      <c r="K43" s="56">
        <v>1</v>
      </c>
      <c r="L43" s="55">
        <v>44369</v>
      </c>
      <c r="M43" s="56">
        <v>8</v>
      </c>
      <c r="N43" s="56">
        <v>14</v>
      </c>
      <c r="O43" s="56">
        <v>0</v>
      </c>
      <c r="P43" s="55"/>
      <c r="Q43" s="56"/>
      <c r="R43" s="56"/>
      <c r="S43" s="56"/>
      <c r="T43" s="239"/>
      <c r="U43" s="240"/>
      <c r="V43" s="240"/>
      <c r="W43" s="240"/>
      <c r="X43" s="149"/>
      <c r="Y43" s="56"/>
      <c r="Z43" s="56"/>
      <c r="AA43" s="57"/>
    </row>
    <row r="44" spans="1:27" s="14" customFormat="1" ht="20.100000000000001" customHeight="1" x14ac:dyDescent="0.15">
      <c r="A44" s="339"/>
      <c r="B44" s="347"/>
      <c r="C44" s="155" t="s">
        <v>12</v>
      </c>
      <c r="D44" s="155">
        <v>2</v>
      </c>
      <c r="E44" s="54">
        <f t="shared" si="1"/>
        <v>4</v>
      </c>
      <c r="F44" s="54">
        <f t="shared" si="2"/>
        <v>4</v>
      </c>
      <c r="G44" s="54">
        <f t="shared" si="3"/>
        <v>0</v>
      </c>
      <c r="H44" s="55">
        <v>44313</v>
      </c>
      <c r="I44" s="56">
        <v>1</v>
      </c>
      <c r="J44" s="56">
        <v>1</v>
      </c>
      <c r="K44" s="56">
        <v>0</v>
      </c>
      <c r="L44" s="55">
        <v>44369</v>
      </c>
      <c r="M44" s="56">
        <v>3</v>
      </c>
      <c r="N44" s="56">
        <v>3</v>
      </c>
      <c r="O44" s="56">
        <v>0</v>
      </c>
      <c r="P44" s="55"/>
      <c r="Q44" s="56"/>
      <c r="R44" s="56"/>
      <c r="S44" s="56"/>
      <c r="T44" s="239"/>
      <c r="U44" s="240"/>
      <c r="V44" s="240"/>
      <c r="W44" s="240"/>
      <c r="X44" s="149"/>
      <c r="Y44" s="56"/>
      <c r="Z44" s="56"/>
      <c r="AA44" s="57"/>
    </row>
    <row r="45" spans="1:27" s="14" customFormat="1" ht="20.100000000000001" customHeight="1" x14ac:dyDescent="0.15">
      <c r="A45" s="339" t="s">
        <v>71</v>
      </c>
      <c r="B45" s="330" t="s">
        <v>30</v>
      </c>
      <c r="C45" s="155" t="s">
        <v>136</v>
      </c>
      <c r="D45" s="155">
        <v>1</v>
      </c>
      <c r="E45" s="54">
        <f t="shared" si="1"/>
        <v>10</v>
      </c>
      <c r="F45" s="54">
        <f t="shared" si="2"/>
        <v>10</v>
      </c>
      <c r="G45" s="54">
        <f t="shared" si="3"/>
        <v>0</v>
      </c>
      <c r="H45" s="55"/>
      <c r="I45" s="56"/>
      <c r="J45" s="56"/>
      <c r="K45" s="56"/>
      <c r="L45" s="55"/>
      <c r="M45" s="56"/>
      <c r="N45" s="56"/>
      <c r="O45" s="56"/>
      <c r="P45" s="55"/>
      <c r="Q45" s="56"/>
      <c r="R45" s="56"/>
      <c r="S45" s="56"/>
      <c r="T45" s="239">
        <v>44497</v>
      </c>
      <c r="U45" s="240">
        <v>10</v>
      </c>
      <c r="V45" s="240">
        <v>10</v>
      </c>
      <c r="W45" s="240">
        <v>0</v>
      </c>
      <c r="X45" s="149"/>
      <c r="Y45" s="56"/>
      <c r="Z45" s="56"/>
      <c r="AA45" s="57"/>
    </row>
    <row r="46" spans="1:27" s="14" customFormat="1" ht="20.100000000000001" customHeight="1" x14ac:dyDescent="0.15">
      <c r="A46" s="339"/>
      <c r="B46" s="330"/>
      <c r="C46" s="155" t="s">
        <v>133</v>
      </c>
      <c r="D46" s="155"/>
      <c r="E46" s="54">
        <f t="shared" si="1"/>
        <v>0</v>
      </c>
      <c r="F46" s="54">
        <f t="shared" si="2"/>
        <v>0</v>
      </c>
      <c r="G46" s="54">
        <f t="shared" si="3"/>
        <v>0</v>
      </c>
      <c r="H46" s="55"/>
      <c r="I46" s="56"/>
      <c r="J46" s="56"/>
      <c r="K46" s="56"/>
      <c r="L46" s="55"/>
      <c r="M46" s="56"/>
      <c r="N46" s="56"/>
      <c r="O46" s="56"/>
      <c r="P46" s="55"/>
      <c r="Q46" s="56"/>
      <c r="R46" s="56"/>
      <c r="S46" s="56"/>
      <c r="T46" s="239"/>
      <c r="U46" s="240"/>
      <c r="V46" s="240"/>
      <c r="W46" s="240"/>
      <c r="X46" s="149"/>
      <c r="Y46" s="56"/>
      <c r="Z46" s="56"/>
      <c r="AA46" s="57"/>
    </row>
    <row r="47" spans="1:27" s="14" customFormat="1" ht="20.100000000000001" customHeight="1" x14ac:dyDescent="0.15">
      <c r="A47" s="339"/>
      <c r="B47" s="330"/>
      <c r="C47" s="155" t="s">
        <v>135</v>
      </c>
      <c r="D47" s="155"/>
      <c r="E47" s="54">
        <f t="shared" si="1"/>
        <v>0</v>
      </c>
      <c r="F47" s="54">
        <f t="shared" si="2"/>
        <v>0</v>
      </c>
      <c r="G47" s="54">
        <f t="shared" si="3"/>
        <v>0</v>
      </c>
      <c r="H47" s="55"/>
      <c r="I47" s="56"/>
      <c r="J47" s="56"/>
      <c r="K47" s="56"/>
      <c r="L47" s="55"/>
      <c r="M47" s="56"/>
      <c r="N47" s="56"/>
      <c r="O47" s="56"/>
      <c r="P47" s="55"/>
      <c r="Q47" s="56"/>
      <c r="R47" s="56"/>
      <c r="S47" s="56"/>
      <c r="T47" s="239"/>
      <c r="U47" s="240"/>
      <c r="V47" s="240"/>
      <c r="W47" s="240"/>
      <c r="X47" s="149"/>
      <c r="Y47" s="56"/>
      <c r="Z47" s="56"/>
      <c r="AA47" s="57"/>
    </row>
    <row r="48" spans="1:27" s="14" customFormat="1" ht="20.100000000000001" customHeight="1" x14ac:dyDescent="0.15">
      <c r="A48" s="339" t="s">
        <v>71</v>
      </c>
      <c r="B48" s="330" t="s">
        <v>30</v>
      </c>
      <c r="C48" s="155" t="s">
        <v>204</v>
      </c>
      <c r="D48" s="155">
        <v>1</v>
      </c>
      <c r="E48" s="54">
        <f t="shared" si="1"/>
        <v>3</v>
      </c>
      <c r="F48" s="54">
        <f t="shared" si="2"/>
        <v>3</v>
      </c>
      <c r="G48" s="54">
        <f t="shared" si="3"/>
        <v>0</v>
      </c>
      <c r="H48" s="55"/>
      <c r="I48" s="56"/>
      <c r="J48" s="56"/>
      <c r="K48" s="56"/>
      <c r="L48" s="55"/>
      <c r="M48" s="56"/>
      <c r="N48" s="56"/>
      <c r="O48" s="56"/>
      <c r="P48" s="55"/>
      <c r="Q48" s="56"/>
      <c r="R48" s="56"/>
      <c r="S48" s="56"/>
      <c r="T48" s="239">
        <v>44497</v>
      </c>
      <c r="U48" s="240">
        <v>3</v>
      </c>
      <c r="V48" s="240">
        <v>3</v>
      </c>
      <c r="W48" s="240">
        <v>0</v>
      </c>
      <c r="X48" s="149"/>
      <c r="Y48" s="56"/>
      <c r="Z48" s="56"/>
      <c r="AA48" s="57"/>
    </row>
    <row r="49" spans="1:27" s="14" customFormat="1" ht="20.100000000000001" customHeight="1" x14ac:dyDescent="0.15">
      <c r="A49" s="339"/>
      <c r="B49" s="330"/>
      <c r="C49" s="155" t="s">
        <v>100</v>
      </c>
      <c r="D49" s="155">
        <v>3</v>
      </c>
      <c r="E49" s="54">
        <f t="shared" si="1"/>
        <v>27</v>
      </c>
      <c r="F49" s="54">
        <f t="shared" si="2"/>
        <v>48</v>
      </c>
      <c r="G49" s="54">
        <f t="shared" si="3"/>
        <v>7</v>
      </c>
      <c r="H49" s="55"/>
      <c r="I49" s="56"/>
      <c r="J49" s="56"/>
      <c r="K49" s="56"/>
      <c r="L49" s="55">
        <v>44322</v>
      </c>
      <c r="M49" s="56">
        <v>13</v>
      </c>
      <c r="N49" s="56">
        <v>13</v>
      </c>
      <c r="O49" s="56">
        <v>2</v>
      </c>
      <c r="P49" s="55"/>
      <c r="Q49" s="56"/>
      <c r="R49" s="56"/>
      <c r="S49" s="56"/>
      <c r="T49" s="239">
        <v>44485</v>
      </c>
      <c r="U49" s="240">
        <v>11</v>
      </c>
      <c r="V49" s="240">
        <v>20</v>
      </c>
      <c r="W49" s="240">
        <v>3</v>
      </c>
      <c r="X49" s="149">
        <v>44532</v>
      </c>
      <c r="Y49" s="56">
        <v>3</v>
      </c>
      <c r="Z49" s="56">
        <v>15</v>
      </c>
      <c r="AA49" s="57">
        <v>2</v>
      </c>
    </row>
    <row r="50" spans="1:27" s="14" customFormat="1" ht="20.100000000000001" customHeight="1" x14ac:dyDescent="0.15">
      <c r="A50" s="339"/>
      <c r="B50" s="330"/>
      <c r="C50" s="155" t="s">
        <v>80</v>
      </c>
      <c r="D50" s="155">
        <v>1</v>
      </c>
      <c r="E50" s="54">
        <f t="shared" si="1"/>
        <v>8</v>
      </c>
      <c r="F50" s="54">
        <f t="shared" si="2"/>
        <v>8</v>
      </c>
      <c r="G50" s="54">
        <f t="shared" si="3"/>
        <v>1</v>
      </c>
      <c r="H50" s="55"/>
      <c r="I50" s="56"/>
      <c r="J50" s="56"/>
      <c r="K50" s="56"/>
      <c r="L50" s="55"/>
      <c r="M50" s="56"/>
      <c r="N50" s="56"/>
      <c r="O50" s="56"/>
      <c r="P50" s="55"/>
      <c r="Q50" s="56"/>
      <c r="R50" s="56"/>
      <c r="S50" s="56"/>
      <c r="T50" s="239">
        <v>44518</v>
      </c>
      <c r="U50" s="240">
        <v>8</v>
      </c>
      <c r="V50" s="240">
        <v>8</v>
      </c>
      <c r="W50" s="240">
        <v>1</v>
      </c>
      <c r="X50" s="149"/>
      <c r="Y50" s="56"/>
      <c r="Z50" s="56"/>
      <c r="AA50" s="57"/>
    </row>
    <row r="51" spans="1:27" s="14" customFormat="1" ht="20.100000000000001" customHeight="1" x14ac:dyDescent="0.15">
      <c r="A51" s="339"/>
      <c r="B51" s="330"/>
      <c r="C51" s="155" t="s">
        <v>68</v>
      </c>
      <c r="D51" s="155">
        <v>1</v>
      </c>
      <c r="E51" s="54">
        <f t="shared" si="1"/>
        <v>5</v>
      </c>
      <c r="F51" s="54">
        <f t="shared" si="2"/>
        <v>5</v>
      </c>
      <c r="G51" s="54">
        <f t="shared" si="3"/>
        <v>0</v>
      </c>
      <c r="H51" s="55"/>
      <c r="I51" s="56"/>
      <c r="J51" s="56"/>
      <c r="K51" s="56"/>
      <c r="L51" s="55"/>
      <c r="M51" s="56"/>
      <c r="N51" s="56"/>
      <c r="O51" s="56"/>
      <c r="P51" s="55"/>
      <c r="Q51" s="56"/>
      <c r="R51" s="56"/>
      <c r="S51" s="56"/>
      <c r="T51" s="239">
        <v>44518</v>
      </c>
      <c r="U51" s="240">
        <v>5</v>
      </c>
      <c r="V51" s="240">
        <v>5</v>
      </c>
      <c r="W51" s="240">
        <v>0</v>
      </c>
      <c r="X51" s="149"/>
      <c r="Y51" s="56"/>
      <c r="Z51" s="56"/>
      <c r="AA51" s="57"/>
    </row>
    <row r="52" spans="1:27" s="14" customFormat="1" ht="20.100000000000001" customHeight="1" x14ac:dyDescent="0.15">
      <c r="A52" s="339"/>
      <c r="B52" s="330"/>
      <c r="C52" s="155" t="s">
        <v>74</v>
      </c>
      <c r="D52" s="155">
        <v>1</v>
      </c>
      <c r="E52" s="54">
        <f t="shared" si="1"/>
        <v>13</v>
      </c>
      <c r="F52" s="54">
        <f t="shared" si="2"/>
        <v>13</v>
      </c>
      <c r="G52" s="54">
        <f t="shared" si="3"/>
        <v>4</v>
      </c>
      <c r="H52" s="55"/>
      <c r="I52" s="56"/>
      <c r="J52" s="56"/>
      <c r="K52" s="56"/>
      <c r="L52" s="55"/>
      <c r="M52" s="56"/>
      <c r="N52" s="56"/>
      <c r="O52" s="56"/>
      <c r="P52" s="55"/>
      <c r="Q52" s="56"/>
      <c r="R52" s="56"/>
      <c r="S52" s="56"/>
      <c r="T52" s="239">
        <v>44515</v>
      </c>
      <c r="U52" s="240">
        <v>13</v>
      </c>
      <c r="V52" s="240">
        <v>13</v>
      </c>
      <c r="W52" s="240">
        <v>4</v>
      </c>
      <c r="X52" s="149"/>
      <c r="Y52" s="56"/>
      <c r="Z52" s="56"/>
      <c r="AA52" s="57"/>
    </row>
    <row r="53" spans="1:27" s="14" customFormat="1" ht="20.100000000000001" customHeight="1" x14ac:dyDescent="0.15">
      <c r="A53" s="339"/>
      <c r="B53" s="330"/>
      <c r="C53" s="155" t="s">
        <v>69</v>
      </c>
      <c r="D53" s="155">
        <v>1</v>
      </c>
      <c r="E53" s="54">
        <f t="shared" si="1"/>
        <v>11</v>
      </c>
      <c r="F53" s="54">
        <f t="shared" si="2"/>
        <v>11</v>
      </c>
      <c r="G53" s="54">
        <f t="shared" si="3"/>
        <v>0</v>
      </c>
      <c r="H53" s="55"/>
      <c r="I53" s="56"/>
      <c r="J53" s="56"/>
      <c r="K53" s="56"/>
      <c r="L53" s="55"/>
      <c r="M53" s="56"/>
      <c r="N53" s="56"/>
      <c r="O53" s="56"/>
      <c r="P53" s="55"/>
      <c r="Q53" s="56"/>
      <c r="R53" s="56"/>
      <c r="S53" s="56"/>
      <c r="T53" s="239">
        <v>44515</v>
      </c>
      <c r="U53" s="240">
        <v>11</v>
      </c>
      <c r="V53" s="240">
        <v>11</v>
      </c>
      <c r="W53" s="240">
        <v>0</v>
      </c>
      <c r="X53" s="149"/>
      <c r="Y53" s="56"/>
      <c r="Z53" s="56"/>
      <c r="AA53" s="57"/>
    </row>
    <row r="54" spans="1:27" s="14" customFormat="1" ht="20.100000000000001" customHeight="1" x14ac:dyDescent="0.15">
      <c r="A54" s="339"/>
      <c r="B54" s="330"/>
      <c r="C54" s="155" t="s">
        <v>117</v>
      </c>
      <c r="D54" s="155">
        <v>1</v>
      </c>
      <c r="E54" s="54">
        <f t="shared" si="1"/>
        <v>9</v>
      </c>
      <c r="F54" s="54">
        <f t="shared" si="2"/>
        <v>9</v>
      </c>
      <c r="G54" s="54">
        <f t="shared" si="3"/>
        <v>0</v>
      </c>
      <c r="H54" s="55"/>
      <c r="I54" s="56"/>
      <c r="J54" s="56"/>
      <c r="K54" s="56"/>
      <c r="L54" s="55"/>
      <c r="M54" s="56"/>
      <c r="N54" s="56"/>
      <c r="O54" s="56"/>
      <c r="P54" s="55"/>
      <c r="Q54" s="56"/>
      <c r="R54" s="56"/>
      <c r="S54" s="56"/>
      <c r="T54" s="239">
        <v>44515</v>
      </c>
      <c r="U54" s="240">
        <v>9</v>
      </c>
      <c r="V54" s="240">
        <v>9</v>
      </c>
      <c r="W54" s="240">
        <v>0</v>
      </c>
      <c r="X54" s="149"/>
      <c r="Y54" s="56"/>
      <c r="Z54" s="56"/>
      <c r="AA54" s="57"/>
    </row>
    <row r="55" spans="1:27" s="14" customFormat="1" ht="20.100000000000001" customHeight="1" x14ac:dyDescent="0.15">
      <c r="A55" s="339"/>
      <c r="B55" s="330"/>
      <c r="C55" s="155" t="s">
        <v>62</v>
      </c>
      <c r="D55" s="155">
        <v>2</v>
      </c>
      <c r="E55" s="54">
        <f t="shared" si="1"/>
        <v>5</v>
      </c>
      <c r="F55" s="54">
        <f t="shared" si="2"/>
        <v>10</v>
      </c>
      <c r="G55" s="54">
        <f t="shared" si="3"/>
        <v>0</v>
      </c>
      <c r="H55" s="55"/>
      <c r="I55" s="56"/>
      <c r="J55" s="56"/>
      <c r="K55" s="56"/>
      <c r="L55" s="55">
        <v>44350</v>
      </c>
      <c r="M55" s="56">
        <v>5</v>
      </c>
      <c r="N55" s="56">
        <v>5</v>
      </c>
      <c r="O55" s="56">
        <v>0</v>
      </c>
      <c r="P55" s="55"/>
      <c r="Q55" s="56"/>
      <c r="R55" s="56"/>
      <c r="S55" s="56"/>
      <c r="T55" s="239">
        <v>44515</v>
      </c>
      <c r="U55" s="240">
        <v>0</v>
      </c>
      <c r="V55" s="240">
        <v>5</v>
      </c>
      <c r="W55" s="240">
        <v>0</v>
      </c>
      <c r="X55" s="149"/>
      <c r="Y55" s="56"/>
      <c r="Z55" s="56"/>
      <c r="AA55" s="57"/>
    </row>
    <row r="56" spans="1:27" s="14" customFormat="1" ht="20.100000000000001" customHeight="1" x14ac:dyDescent="0.15">
      <c r="A56" s="339"/>
      <c r="B56" s="330"/>
      <c r="C56" s="155" t="s">
        <v>25</v>
      </c>
      <c r="D56" s="155"/>
      <c r="E56" s="54">
        <f t="shared" si="1"/>
        <v>0</v>
      </c>
      <c r="F56" s="54">
        <f t="shared" si="2"/>
        <v>0</v>
      </c>
      <c r="G56" s="54">
        <f t="shared" si="3"/>
        <v>0</v>
      </c>
      <c r="H56" s="55"/>
      <c r="I56" s="56"/>
      <c r="J56" s="56"/>
      <c r="K56" s="56"/>
      <c r="L56" s="55"/>
      <c r="M56" s="56"/>
      <c r="N56" s="56"/>
      <c r="O56" s="56"/>
      <c r="P56" s="55"/>
      <c r="Q56" s="56"/>
      <c r="R56" s="56"/>
      <c r="S56" s="56"/>
      <c r="T56" s="239"/>
      <c r="U56" s="240"/>
      <c r="V56" s="240"/>
      <c r="W56" s="240"/>
      <c r="X56" s="149"/>
      <c r="Y56" s="56"/>
      <c r="Z56" s="56"/>
      <c r="AA56" s="57"/>
    </row>
    <row r="57" spans="1:27" s="14" customFormat="1" ht="20.100000000000001" customHeight="1" x14ac:dyDescent="0.15">
      <c r="A57" s="339"/>
      <c r="B57" s="330"/>
      <c r="C57" s="155" t="s">
        <v>15</v>
      </c>
      <c r="D57" s="155">
        <v>1</v>
      </c>
      <c r="E57" s="54">
        <f t="shared" si="1"/>
        <v>5</v>
      </c>
      <c r="F57" s="54">
        <f t="shared" si="2"/>
        <v>5</v>
      </c>
      <c r="G57" s="54">
        <f t="shared" si="3"/>
        <v>0</v>
      </c>
      <c r="H57" s="55"/>
      <c r="I57" s="56"/>
      <c r="J57" s="56"/>
      <c r="K57" s="56"/>
      <c r="L57" s="55"/>
      <c r="M57" s="56"/>
      <c r="N57" s="56"/>
      <c r="O57" s="56"/>
      <c r="P57" s="55"/>
      <c r="Q57" s="56"/>
      <c r="R57" s="56"/>
      <c r="S57" s="56"/>
      <c r="T57" s="239">
        <v>44515</v>
      </c>
      <c r="U57" s="240">
        <v>5</v>
      </c>
      <c r="V57" s="240">
        <v>5</v>
      </c>
      <c r="W57" s="240">
        <v>0</v>
      </c>
      <c r="X57" s="149"/>
      <c r="Y57" s="56"/>
      <c r="Z57" s="56"/>
      <c r="AA57" s="57"/>
    </row>
    <row r="58" spans="1:27" s="14" customFormat="1" ht="20.100000000000001" customHeight="1" x14ac:dyDescent="0.15">
      <c r="A58" s="339"/>
      <c r="B58" s="155" t="s">
        <v>42</v>
      </c>
      <c r="C58" s="155" t="s">
        <v>133</v>
      </c>
      <c r="D58" s="155"/>
      <c r="E58" s="54">
        <f t="shared" si="1"/>
        <v>0</v>
      </c>
      <c r="F58" s="54">
        <f t="shared" si="2"/>
        <v>0</v>
      </c>
      <c r="G58" s="54">
        <f t="shared" si="3"/>
        <v>0</v>
      </c>
      <c r="H58" s="55"/>
      <c r="I58" s="56"/>
      <c r="J58" s="56"/>
      <c r="K58" s="56"/>
      <c r="L58" s="55"/>
      <c r="M58" s="56"/>
      <c r="N58" s="56"/>
      <c r="O58" s="56"/>
      <c r="P58" s="55"/>
      <c r="Q58" s="56"/>
      <c r="R58" s="56"/>
      <c r="S58" s="56"/>
      <c r="T58" s="239"/>
      <c r="U58" s="240"/>
      <c r="V58" s="240"/>
      <c r="W58" s="240"/>
      <c r="X58" s="149"/>
      <c r="Y58" s="56"/>
      <c r="Z58" s="56"/>
      <c r="AA58" s="57"/>
    </row>
    <row r="59" spans="1:27" s="14" customFormat="1" ht="20.100000000000001" customHeight="1" x14ac:dyDescent="0.15">
      <c r="A59" s="339"/>
      <c r="B59" s="155" t="s">
        <v>51</v>
      </c>
      <c r="C59" s="155" t="s">
        <v>82</v>
      </c>
      <c r="D59" s="155">
        <v>2</v>
      </c>
      <c r="E59" s="54">
        <f t="shared" si="1"/>
        <v>3</v>
      </c>
      <c r="F59" s="54">
        <f t="shared" si="2"/>
        <v>3</v>
      </c>
      <c r="G59" s="54">
        <f t="shared" si="3"/>
        <v>0</v>
      </c>
      <c r="H59" s="55"/>
      <c r="I59" s="56"/>
      <c r="J59" s="56"/>
      <c r="K59" s="56"/>
      <c r="L59" s="55">
        <v>44301</v>
      </c>
      <c r="M59" s="56">
        <v>3</v>
      </c>
      <c r="N59" s="56">
        <v>3</v>
      </c>
      <c r="O59" s="56">
        <v>0</v>
      </c>
      <c r="P59" s="55"/>
      <c r="Q59" s="56"/>
      <c r="R59" s="56"/>
      <c r="S59" s="56"/>
      <c r="T59" s="239"/>
      <c r="U59" s="240"/>
      <c r="V59" s="240"/>
      <c r="W59" s="240"/>
      <c r="X59" s="149"/>
      <c r="Y59" s="56"/>
      <c r="Z59" s="56"/>
      <c r="AA59" s="57"/>
    </row>
    <row r="60" spans="1:27" s="14" customFormat="1" ht="20.100000000000001" customHeight="1" x14ac:dyDescent="0.15">
      <c r="A60" s="339"/>
      <c r="B60" s="155" t="s">
        <v>125</v>
      </c>
      <c r="C60" s="155" t="s">
        <v>22</v>
      </c>
      <c r="D60" s="155"/>
      <c r="E60" s="54">
        <f t="shared" si="1"/>
        <v>0</v>
      </c>
      <c r="F60" s="54">
        <f t="shared" si="2"/>
        <v>0</v>
      </c>
      <c r="G60" s="54">
        <f t="shared" si="3"/>
        <v>0</v>
      </c>
      <c r="H60" s="55"/>
      <c r="I60" s="56"/>
      <c r="J60" s="56"/>
      <c r="K60" s="56"/>
      <c r="L60" s="55"/>
      <c r="M60" s="56"/>
      <c r="N60" s="56"/>
      <c r="O60" s="56"/>
      <c r="P60" s="55"/>
      <c r="Q60" s="56"/>
      <c r="R60" s="56"/>
      <c r="S60" s="56"/>
      <c r="T60" s="239"/>
      <c r="U60" s="240"/>
      <c r="V60" s="240"/>
      <c r="W60" s="240"/>
      <c r="X60" s="149"/>
      <c r="Y60" s="56"/>
      <c r="Z60" s="56"/>
      <c r="AA60" s="57"/>
    </row>
    <row r="61" spans="1:27" s="14" customFormat="1" ht="20.100000000000001" customHeight="1" x14ac:dyDescent="0.15">
      <c r="A61" s="339"/>
      <c r="B61" s="331" t="s">
        <v>30</v>
      </c>
      <c r="C61" s="155" t="s">
        <v>60</v>
      </c>
      <c r="D61" s="155"/>
      <c r="E61" s="54">
        <f t="shared" si="1"/>
        <v>0</v>
      </c>
      <c r="F61" s="54">
        <f t="shared" si="2"/>
        <v>0</v>
      </c>
      <c r="G61" s="54">
        <f t="shared" si="3"/>
        <v>0</v>
      </c>
      <c r="H61" s="55"/>
      <c r="I61" s="56"/>
      <c r="J61" s="56"/>
      <c r="K61" s="56"/>
      <c r="L61" s="55"/>
      <c r="M61" s="56"/>
      <c r="N61" s="56"/>
      <c r="O61" s="56"/>
      <c r="P61" s="55"/>
      <c r="Q61" s="56"/>
      <c r="R61" s="56"/>
      <c r="S61" s="56"/>
      <c r="T61" s="239"/>
      <c r="U61" s="240"/>
      <c r="V61" s="240"/>
      <c r="W61" s="240"/>
      <c r="X61" s="149"/>
      <c r="Y61" s="56"/>
      <c r="Z61" s="56"/>
      <c r="AA61" s="57"/>
    </row>
    <row r="62" spans="1:27" s="14" customFormat="1" ht="20.100000000000001" customHeight="1" x14ac:dyDescent="0.15">
      <c r="A62" s="339"/>
      <c r="B62" s="348"/>
      <c r="C62" s="155" t="s">
        <v>53</v>
      </c>
      <c r="D62" s="155"/>
      <c r="E62" s="54">
        <f t="shared" si="1"/>
        <v>0</v>
      </c>
      <c r="F62" s="54">
        <f t="shared" si="2"/>
        <v>0</v>
      </c>
      <c r="G62" s="54">
        <f t="shared" si="3"/>
        <v>0</v>
      </c>
      <c r="H62" s="55"/>
      <c r="I62" s="56"/>
      <c r="J62" s="56"/>
      <c r="K62" s="56"/>
      <c r="L62" s="55"/>
      <c r="M62" s="56"/>
      <c r="N62" s="56"/>
      <c r="O62" s="56"/>
      <c r="P62" s="55"/>
      <c r="Q62" s="56"/>
      <c r="R62" s="56"/>
      <c r="S62" s="56"/>
      <c r="T62" s="239"/>
      <c r="U62" s="240"/>
      <c r="V62" s="240"/>
      <c r="W62" s="240"/>
      <c r="X62" s="149"/>
      <c r="Y62" s="56"/>
      <c r="Z62" s="56"/>
      <c r="AA62" s="57"/>
    </row>
    <row r="63" spans="1:27" s="14" customFormat="1" ht="20.100000000000001" customHeight="1" x14ac:dyDescent="0.15">
      <c r="A63" s="339"/>
      <c r="B63" s="348"/>
      <c r="C63" s="155" t="s">
        <v>27</v>
      </c>
      <c r="D63" s="155"/>
      <c r="E63" s="54">
        <f t="shared" si="1"/>
        <v>0</v>
      </c>
      <c r="F63" s="54">
        <f t="shared" si="2"/>
        <v>0</v>
      </c>
      <c r="G63" s="54">
        <f t="shared" si="3"/>
        <v>0</v>
      </c>
      <c r="H63" s="55"/>
      <c r="I63" s="56"/>
      <c r="J63" s="56"/>
      <c r="K63" s="56"/>
      <c r="L63" s="55"/>
      <c r="M63" s="56"/>
      <c r="N63" s="56"/>
      <c r="O63" s="56"/>
      <c r="P63" s="55"/>
      <c r="Q63" s="56"/>
      <c r="R63" s="56"/>
      <c r="S63" s="56"/>
      <c r="T63" s="239"/>
      <c r="U63" s="240"/>
      <c r="V63" s="240"/>
      <c r="W63" s="240"/>
      <c r="X63" s="149"/>
      <c r="Y63" s="56"/>
      <c r="Z63" s="56"/>
      <c r="AA63" s="57"/>
    </row>
    <row r="64" spans="1:27" s="14" customFormat="1" ht="20.100000000000001" customHeight="1" x14ac:dyDescent="0.15">
      <c r="A64" s="339"/>
      <c r="B64" s="348"/>
      <c r="C64" s="155" t="s">
        <v>137</v>
      </c>
      <c r="D64" s="155"/>
      <c r="E64" s="54">
        <f t="shared" si="1"/>
        <v>0</v>
      </c>
      <c r="F64" s="54">
        <f t="shared" si="2"/>
        <v>0</v>
      </c>
      <c r="G64" s="54">
        <f t="shared" si="3"/>
        <v>0</v>
      </c>
      <c r="H64" s="55"/>
      <c r="I64" s="56"/>
      <c r="J64" s="56"/>
      <c r="K64" s="56"/>
      <c r="L64" s="55"/>
      <c r="M64" s="56"/>
      <c r="N64" s="56"/>
      <c r="O64" s="56"/>
      <c r="P64" s="55"/>
      <c r="Q64" s="56"/>
      <c r="R64" s="56"/>
      <c r="S64" s="56"/>
      <c r="T64" s="239"/>
      <c r="U64" s="240"/>
      <c r="V64" s="240"/>
      <c r="W64" s="240"/>
      <c r="X64" s="149"/>
      <c r="Y64" s="56"/>
      <c r="Z64" s="56"/>
      <c r="AA64" s="57"/>
    </row>
    <row r="65" spans="1:27" s="14" customFormat="1" ht="20.100000000000001" customHeight="1" x14ac:dyDescent="0.15">
      <c r="A65" s="339"/>
      <c r="B65" s="348"/>
      <c r="C65" s="155" t="s">
        <v>194</v>
      </c>
      <c r="D65" s="155">
        <v>2</v>
      </c>
      <c r="E65" s="54">
        <f t="shared" si="1"/>
        <v>7</v>
      </c>
      <c r="F65" s="54">
        <f t="shared" si="2"/>
        <v>11</v>
      </c>
      <c r="G65" s="54">
        <f t="shared" si="3"/>
        <v>2</v>
      </c>
      <c r="H65" s="55">
        <v>44287</v>
      </c>
      <c r="I65" s="56">
        <v>5</v>
      </c>
      <c r="J65" s="56">
        <v>5</v>
      </c>
      <c r="K65" s="56">
        <v>1</v>
      </c>
      <c r="L65" s="55">
        <v>44372</v>
      </c>
      <c r="M65" s="56">
        <v>2</v>
      </c>
      <c r="N65" s="56">
        <v>6</v>
      </c>
      <c r="O65" s="56">
        <v>1</v>
      </c>
      <c r="P65" s="55"/>
      <c r="Q65" s="56"/>
      <c r="R65" s="56"/>
      <c r="S65" s="56"/>
      <c r="T65" s="239"/>
      <c r="U65" s="240"/>
      <c r="V65" s="240"/>
      <c r="W65" s="240"/>
      <c r="X65" s="149"/>
      <c r="Y65" s="56"/>
      <c r="Z65" s="56"/>
      <c r="AA65" s="57"/>
    </row>
    <row r="66" spans="1:27" s="14" customFormat="1" ht="20.100000000000001" customHeight="1" x14ac:dyDescent="0.15">
      <c r="A66" s="339"/>
      <c r="B66" s="348"/>
      <c r="C66" s="155" t="s">
        <v>197</v>
      </c>
      <c r="D66" s="155">
        <v>4</v>
      </c>
      <c r="E66" s="54">
        <f t="shared" si="1"/>
        <v>19</v>
      </c>
      <c r="F66" s="54">
        <f t="shared" si="2"/>
        <v>37</v>
      </c>
      <c r="G66" s="54">
        <f t="shared" si="3"/>
        <v>7</v>
      </c>
      <c r="H66" s="55">
        <v>44286</v>
      </c>
      <c r="I66" s="56">
        <v>6</v>
      </c>
      <c r="J66" s="56">
        <v>6</v>
      </c>
      <c r="K66" s="56">
        <v>1</v>
      </c>
      <c r="L66" s="55">
        <v>44363</v>
      </c>
      <c r="M66" s="56">
        <v>4</v>
      </c>
      <c r="N66" s="56">
        <v>9</v>
      </c>
      <c r="O66" s="56">
        <v>3</v>
      </c>
      <c r="P66" s="55">
        <v>44484</v>
      </c>
      <c r="Q66" s="56">
        <v>3</v>
      </c>
      <c r="R66" s="56">
        <v>9</v>
      </c>
      <c r="S66" s="56">
        <v>2</v>
      </c>
      <c r="T66" s="239">
        <v>44525</v>
      </c>
      <c r="U66" s="240">
        <v>6</v>
      </c>
      <c r="V66" s="240">
        <v>13</v>
      </c>
      <c r="W66" s="240">
        <v>1</v>
      </c>
      <c r="X66" s="149"/>
      <c r="Y66" s="56"/>
      <c r="Z66" s="56"/>
      <c r="AA66" s="57"/>
    </row>
    <row r="67" spans="1:27" s="14" customFormat="1" ht="20.100000000000001" customHeight="1" x14ac:dyDescent="0.15">
      <c r="A67" s="339"/>
      <c r="B67" s="348"/>
      <c r="C67" s="155" t="s">
        <v>212</v>
      </c>
      <c r="D67" s="155">
        <v>1</v>
      </c>
      <c r="E67" s="54">
        <f t="shared" si="1"/>
        <v>4</v>
      </c>
      <c r="F67" s="54">
        <f t="shared" si="2"/>
        <v>5</v>
      </c>
      <c r="G67" s="54">
        <f t="shared" si="3"/>
        <v>0</v>
      </c>
      <c r="H67" s="55">
        <v>44286</v>
      </c>
      <c r="I67" s="56">
        <v>1</v>
      </c>
      <c r="J67" s="56">
        <v>1</v>
      </c>
      <c r="K67" s="56">
        <v>0</v>
      </c>
      <c r="L67" s="55"/>
      <c r="M67" s="56"/>
      <c r="N67" s="56"/>
      <c r="O67" s="56"/>
      <c r="P67" s="55"/>
      <c r="Q67" s="56"/>
      <c r="R67" s="56"/>
      <c r="S67" s="56"/>
      <c r="T67" s="239">
        <v>44525</v>
      </c>
      <c r="U67" s="240">
        <v>3</v>
      </c>
      <c r="V67" s="240">
        <v>4</v>
      </c>
      <c r="W67" s="240">
        <v>0</v>
      </c>
      <c r="X67" s="149"/>
      <c r="Y67" s="56"/>
      <c r="Z67" s="56"/>
      <c r="AA67" s="57"/>
    </row>
    <row r="68" spans="1:27" s="14" customFormat="1" ht="20.100000000000001" customHeight="1" x14ac:dyDescent="0.15">
      <c r="A68" s="339"/>
      <c r="B68" s="348"/>
      <c r="C68" s="155" t="s">
        <v>9</v>
      </c>
      <c r="D68" s="155">
        <v>3</v>
      </c>
      <c r="E68" s="54">
        <f t="shared" si="1"/>
        <v>10</v>
      </c>
      <c r="F68" s="54">
        <f t="shared" si="2"/>
        <v>17</v>
      </c>
      <c r="G68" s="54">
        <f t="shared" si="3"/>
        <v>2</v>
      </c>
      <c r="H68" s="55"/>
      <c r="I68" s="56"/>
      <c r="J68" s="56"/>
      <c r="K68" s="56"/>
      <c r="L68" s="55">
        <v>44361</v>
      </c>
      <c r="M68" s="56">
        <v>7</v>
      </c>
      <c r="N68" s="56">
        <v>7</v>
      </c>
      <c r="O68" s="56">
        <v>1</v>
      </c>
      <c r="P68" s="55">
        <v>44483</v>
      </c>
      <c r="Q68" s="56">
        <v>0</v>
      </c>
      <c r="R68" s="56">
        <v>6</v>
      </c>
      <c r="S68" s="56">
        <v>0</v>
      </c>
      <c r="T68" s="239">
        <v>44526</v>
      </c>
      <c r="U68" s="240">
        <v>3</v>
      </c>
      <c r="V68" s="240">
        <v>4</v>
      </c>
      <c r="W68" s="240">
        <v>1</v>
      </c>
      <c r="X68" s="149"/>
      <c r="Y68" s="56"/>
      <c r="Z68" s="56"/>
      <c r="AA68" s="57"/>
    </row>
    <row r="69" spans="1:27" s="14" customFormat="1" ht="20.100000000000001" customHeight="1" x14ac:dyDescent="0.15">
      <c r="A69" s="339"/>
      <c r="B69" s="349"/>
      <c r="C69" s="155" t="s">
        <v>105</v>
      </c>
      <c r="D69" s="155">
        <v>3</v>
      </c>
      <c r="E69" s="54">
        <f t="shared" si="1"/>
        <v>6</v>
      </c>
      <c r="F69" s="54">
        <f t="shared" si="2"/>
        <v>11</v>
      </c>
      <c r="G69" s="54">
        <f t="shared" si="3"/>
        <v>0</v>
      </c>
      <c r="H69" s="55">
        <v>44285</v>
      </c>
      <c r="I69" s="56">
        <v>4</v>
      </c>
      <c r="J69" s="56">
        <v>4</v>
      </c>
      <c r="K69" s="56">
        <v>0</v>
      </c>
      <c r="L69" s="55">
        <v>44361</v>
      </c>
      <c r="M69" s="56">
        <v>2</v>
      </c>
      <c r="N69" s="56">
        <v>4</v>
      </c>
      <c r="O69" s="56">
        <v>0</v>
      </c>
      <c r="P69" s="55">
        <v>44483</v>
      </c>
      <c r="Q69" s="56">
        <v>0</v>
      </c>
      <c r="R69" s="56">
        <v>3</v>
      </c>
      <c r="S69" s="56">
        <v>0</v>
      </c>
      <c r="T69" s="239"/>
      <c r="U69" s="240"/>
      <c r="V69" s="240"/>
      <c r="W69" s="240"/>
      <c r="X69" s="149"/>
      <c r="Y69" s="56"/>
      <c r="Z69" s="56"/>
      <c r="AA69" s="57"/>
    </row>
    <row r="70" spans="1:27" s="14" customFormat="1" ht="20.100000000000001" customHeight="1" x14ac:dyDescent="0.15">
      <c r="A70" s="343" t="s">
        <v>71</v>
      </c>
      <c r="B70" s="331" t="s">
        <v>30</v>
      </c>
      <c r="C70" s="155" t="s">
        <v>58</v>
      </c>
      <c r="D70" s="155"/>
      <c r="E70" s="54">
        <f t="shared" si="1"/>
        <v>0</v>
      </c>
      <c r="F70" s="54">
        <f t="shared" si="2"/>
        <v>0</v>
      </c>
      <c r="G70" s="54">
        <f t="shared" si="3"/>
        <v>0</v>
      </c>
      <c r="H70" s="55"/>
      <c r="I70" s="56"/>
      <c r="J70" s="56"/>
      <c r="K70" s="56"/>
      <c r="L70" s="55"/>
      <c r="M70" s="56"/>
      <c r="N70" s="56"/>
      <c r="O70" s="56"/>
      <c r="P70" s="55"/>
      <c r="Q70" s="56"/>
      <c r="R70" s="56"/>
      <c r="S70" s="56"/>
      <c r="T70" s="239"/>
      <c r="U70" s="240"/>
      <c r="V70" s="240"/>
      <c r="W70" s="240"/>
      <c r="X70" s="149"/>
      <c r="Y70" s="56"/>
      <c r="Z70" s="56"/>
      <c r="AA70" s="57"/>
    </row>
    <row r="71" spans="1:27" s="14" customFormat="1" ht="20.100000000000001" customHeight="1" x14ac:dyDescent="0.15">
      <c r="A71" s="350"/>
      <c r="B71" s="348"/>
      <c r="C71" s="155" t="s">
        <v>115</v>
      </c>
      <c r="D71" s="155">
        <v>3</v>
      </c>
      <c r="E71" s="54">
        <f t="shared" si="1"/>
        <v>8</v>
      </c>
      <c r="F71" s="54">
        <f t="shared" si="2"/>
        <v>11</v>
      </c>
      <c r="G71" s="54">
        <f t="shared" si="3"/>
        <v>0</v>
      </c>
      <c r="H71" s="55"/>
      <c r="I71" s="56"/>
      <c r="J71" s="56"/>
      <c r="K71" s="56"/>
      <c r="L71" s="55">
        <v>44322</v>
      </c>
      <c r="M71" s="56">
        <v>5</v>
      </c>
      <c r="N71" s="56">
        <v>5</v>
      </c>
      <c r="O71" s="56">
        <v>0</v>
      </c>
      <c r="P71" s="55">
        <v>44398</v>
      </c>
      <c r="Q71" s="56">
        <v>1</v>
      </c>
      <c r="R71" s="56">
        <v>2</v>
      </c>
      <c r="S71" s="56">
        <v>0</v>
      </c>
      <c r="T71" s="239">
        <v>44491</v>
      </c>
      <c r="U71" s="240">
        <v>2</v>
      </c>
      <c r="V71" s="240">
        <v>4</v>
      </c>
      <c r="W71" s="240">
        <v>0</v>
      </c>
      <c r="X71" s="149"/>
      <c r="Y71" s="56"/>
      <c r="Z71" s="56"/>
      <c r="AA71" s="57"/>
    </row>
    <row r="72" spans="1:27" s="14" customFormat="1" ht="20.100000000000001" customHeight="1" x14ac:dyDescent="0.15">
      <c r="A72" s="350"/>
      <c r="B72" s="348"/>
      <c r="C72" s="155" t="s">
        <v>19</v>
      </c>
      <c r="D72" s="155"/>
      <c r="E72" s="54">
        <f t="shared" ref="E72:E80" si="4">SUM(I72,M72,Q72,U72,Y72)</f>
        <v>0</v>
      </c>
      <c r="F72" s="54">
        <f t="shared" ref="F72:F80" si="5">SUM(J72,N72,R72,V72,Z72)</f>
        <v>0</v>
      </c>
      <c r="G72" s="54">
        <f t="shared" ref="G72:G80" si="6">SUM(K72,O72,S72,W72,AA72)</f>
        <v>0</v>
      </c>
      <c r="H72" s="55"/>
      <c r="I72" s="56"/>
      <c r="J72" s="56"/>
      <c r="K72" s="56"/>
      <c r="L72" s="55"/>
      <c r="M72" s="56"/>
      <c r="N72" s="56"/>
      <c r="O72" s="56"/>
      <c r="P72" s="55"/>
      <c r="Q72" s="56"/>
      <c r="R72" s="56"/>
      <c r="S72" s="56"/>
      <c r="T72" s="239"/>
      <c r="U72" s="240"/>
      <c r="V72" s="240"/>
      <c r="W72" s="240"/>
      <c r="X72" s="149"/>
      <c r="Y72" s="56"/>
      <c r="Z72" s="56"/>
      <c r="AA72" s="57"/>
    </row>
    <row r="73" spans="1:27" s="14" customFormat="1" ht="20.100000000000001" customHeight="1" x14ac:dyDescent="0.15">
      <c r="A73" s="344"/>
      <c r="B73" s="349"/>
      <c r="C73" s="155" t="s">
        <v>31</v>
      </c>
      <c r="D73" s="155">
        <v>1</v>
      </c>
      <c r="E73" s="54">
        <f t="shared" si="4"/>
        <v>5</v>
      </c>
      <c r="F73" s="54">
        <f t="shared" si="5"/>
        <v>5</v>
      </c>
      <c r="G73" s="54">
        <f t="shared" si="6"/>
        <v>1</v>
      </c>
      <c r="H73" s="55">
        <v>44295</v>
      </c>
      <c r="I73" s="56">
        <v>5</v>
      </c>
      <c r="J73" s="56">
        <v>5</v>
      </c>
      <c r="K73" s="56">
        <v>1</v>
      </c>
      <c r="L73" s="55"/>
      <c r="M73" s="56"/>
      <c r="N73" s="56"/>
      <c r="O73" s="56"/>
      <c r="P73" s="55"/>
      <c r="Q73" s="56"/>
      <c r="R73" s="56"/>
      <c r="S73" s="56"/>
      <c r="T73" s="239"/>
      <c r="U73" s="240"/>
      <c r="V73" s="240"/>
      <c r="W73" s="240"/>
      <c r="X73" s="149"/>
      <c r="Y73" s="56"/>
      <c r="Z73" s="56"/>
      <c r="AA73" s="57"/>
    </row>
    <row r="74" spans="1:27" s="14" customFormat="1" ht="20.100000000000001" customHeight="1" x14ac:dyDescent="0.15">
      <c r="A74" s="339" t="s">
        <v>79</v>
      </c>
      <c r="B74" s="330" t="s">
        <v>130</v>
      </c>
      <c r="C74" s="155" t="s">
        <v>140</v>
      </c>
      <c r="D74" s="155"/>
      <c r="E74" s="54">
        <f t="shared" si="4"/>
        <v>0</v>
      </c>
      <c r="F74" s="54">
        <f t="shared" si="5"/>
        <v>0</v>
      </c>
      <c r="G74" s="54">
        <f t="shared" si="6"/>
        <v>0</v>
      </c>
      <c r="H74" s="55"/>
      <c r="I74" s="56"/>
      <c r="J74" s="56"/>
      <c r="K74" s="56"/>
      <c r="L74" s="55"/>
      <c r="M74" s="56"/>
      <c r="N74" s="56"/>
      <c r="O74" s="56"/>
      <c r="P74" s="55"/>
      <c r="Q74" s="56"/>
      <c r="R74" s="56"/>
      <c r="S74" s="56"/>
      <c r="T74" s="239"/>
      <c r="U74" s="240"/>
      <c r="V74" s="240"/>
      <c r="W74" s="240"/>
      <c r="X74" s="149"/>
      <c r="Y74" s="56"/>
      <c r="Z74" s="56"/>
      <c r="AA74" s="57"/>
    </row>
    <row r="75" spans="1:27" s="14" customFormat="1" ht="20.100000000000001" customHeight="1" x14ac:dyDescent="0.15">
      <c r="A75" s="339"/>
      <c r="B75" s="330"/>
      <c r="C75" s="155" t="s">
        <v>148</v>
      </c>
      <c r="D75" s="155">
        <v>3</v>
      </c>
      <c r="E75" s="54">
        <f t="shared" si="4"/>
        <v>22</v>
      </c>
      <c r="F75" s="54">
        <f t="shared" si="5"/>
        <v>48</v>
      </c>
      <c r="G75" s="54">
        <f t="shared" si="6"/>
        <v>2</v>
      </c>
      <c r="H75" s="55"/>
      <c r="I75" s="56"/>
      <c r="J75" s="56"/>
      <c r="K75" s="56"/>
      <c r="L75" s="55">
        <v>44301</v>
      </c>
      <c r="M75" s="56">
        <v>13</v>
      </c>
      <c r="N75" s="56">
        <v>13</v>
      </c>
      <c r="O75" s="56">
        <v>1</v>
      </c>
      <c r="P75" s="55">
        <v>44379</v>
      </c>
      <c r="Q75" s="56">
        <v>9</v>
      </c>
      <c r="R75" s="56">
        <v>18</v>
      </c>
      <c r="S75" s="56">
        <v>1</v>
      </c>
      <c r="T75" s="239">
        <v>44505</v>
      </c>
      <c r="U75" s="240">
        <v>0</v>
      </c>
      <c r="V75" s="240">
        <v>17</v>
      </c>
      <c r="W75" s="240">
        <v>0</v>
      </c>
      <c r="X75" s="149"/>
      <c r="Y75" s="56"/>
      <c r="Z75" s="56"/>
      <c r="AA75" s="57"/>
    </row>
    <row r="76" spans="1:27" s="14" customFormat="1" ht="20.100000000000001" customHeight="1" x14ac:dyDescent="0.15">
      <c r="A76" s="339"/>
      <c r="B76" s="330"/>
      <c r="C76" s="155" t="s">
        <v>213</v>
      </c>
      <c r="D76" s="155">
        <v>2</v>
      </c>
      <c r="E76" s="54">
        <f t="shared" si="4"/>
        <v>3</v>
      </c>
      <c r="F76" s="54">
        <f t="shared" si="5"/>
        <v>3</v>
      </c>
      <c r="G76" s="54">
        <f t="shared" si="6"/>
        <v>1</v>
      </c>
      <c r="H76" s="55"/>
      <c r="I76" s="56"/>
      <c r="J76" s="56"/>
      <c r="K76" s="56"/>
      <c r="L76" s="55">
        <v>44309</v>
      </c>
      <c r="M76" s="56">
        <v>3</v>
      </c>
      <c r="N76" s="56">
        <v>3</v>
      </c>
      <c r="O76" s="56">
        <v>1</v>
      </c>
      <c r="P76" s="55"/>
      <c r="Q76" s="56"/>
      <c r="R76" s="56"/>
      <c r="S76" s="56"/>
      <c r="T76" s="239"/>
      <c r="U76" s="240"/>
      <c r="V76" s="240"/>
      <c r="W76" s="240"/>
      <c r="X76" s="149"/>
      <c r="Y76" s="56"/>
      <c r="Z76" s="56"/>
      <c r="AA76" s="57"/>
    </row>
    <row r="77" spans="1:27" s="14" customFormat="1" ht="20.100000000000001" customHeight="1" x14ac:dyDescent="0.15">
      <c r="A77" s="339"/>
      <c r="B77" s="330"/>
      <c r="C77" s="155" t="s">
        <v>215</v>
      </c>
      <c r="D77" s="155">
        <v>2</v>
      </c>
      <c r="E77" s="54">
        <f t="shared" si="4"/>
        <v>2</v>
      </c>
      <c r="F77" s="54">
        <f t="shared" si="5"/>
        <v>2</v>
      </c>
      <c r="G77" s="54">
        <f t="shared" si="6"/>
        <v>0</v>
      </c>
      <c r="H77" s="55"/>
      <c r="I77" s="56"/>
      <c r="J77" s="56"/>
      <c r="K77" s="56"/>
      <c r="L77" s="55">
        <v>44312</v>
      </c>
      <c r="M77" s="56">
        <v>2</v>
      </c>
      <c r="N77" s="56">
        <v>2</v>
      </c>
      <c r="O77" s="56">
        <v>0</v>
      </c>
      <c r="P77" s="55"/>
      <c r="Q77" s="56"/>
      <c r="R77" s="56"/>
      <c r="S77" s="56"/>
      <c r="T77" s="239"/>
      <c r="U77" s="240"/>
      <c r="V77" s="240"/>
      <c r="W77" s="240"/>
      <c r="X77" s="149"/>
      <c r="Y77" s="56"/>
      <c r="Z77" s="56"/>
      <c r="AA77" s="57"/>
    </row>
    <row r="78" spans="1:27" s="14" customFormat="1" ht="20.100000000000001" customHeight="1" x14ac:dyDescent="0.15">
      <c r="A78" s="339"/>
      <c r="B78" s="330"/>
      <c r="C78" s="155" t="s">
        <v>195</v>
      </c>
      <c r="D78" s="155">
        <v>3</v>
      </c>
      <c r="E78" s="54">
        <f t="shared" si="4"/>
        <v>41</v>
      </c>
      <c r="F78" s="54">
        <f t="shared" si="5"/>
        <v>43</v>
      </c>
      <c r="G78" s="54">
        <f t="shared" si="6"/>
        <v>2</v>
      </c>
      <c r="H78" s="55"/>
      <c r="I78" s="56"/>
      <c r="J78" s="56"/>
      <c r="K78" s="56"/>
      <c r="L78" s="55">
        <v>44330</v>
      </c>
      <c r="M78" s="56">
        <v>8</v>
      </c>
      <c r="N78" s="56">
        <v>8</v>
      </c>
      <c r="O78" s="56">
        <v>0</v>
      </c>
      <c r="P78" s="55">
        <v>44391</v>
      </c>
      <c r="Q78" s="56">
        <v>10</v>
      </c>
      <c r="R78" s="56">
        <v>10</v>
      </c>
      <c r="S78" s="56">
        <v>1</v>
      </c>
      <c r="T78" s="239">
        <v>44545</v>
      </c>
      <c r="U78" s="240">
        <v>23</v>
      </c>
      <c r="V78" s="240">
        <v>25</v>
      </c>
      <c r="W78" s="240">
        <v>1</v>
      </c>
      <c r="X78" s="149"/>
      <c r="Y78" s="56"/>
      <c r="Z78" s="56"/>
      <c r="AA78" s="57"/>
    </row>
    <row r="79" spans="1:27" s="14" customFormat="1" ht="20.100000000000001" customHeight="1" x14ac:dyDescent="0.15">
      <c r="A79" s="339"/>
      <c r="B79" s="330"/>
      <c r="C79" s="155" t="s">
        <v>208</v>
      </c>
      <c r="D79" s="155">
        <v>2</v>
      </c>
      <c r="E79" s="54">
        <f t="shared" si="4"/>
        <v>29</v>
      </c>
      <c r="F79" s="54">
        <f t="shared" si="5"/>
        <v>29</v>
      </c>
      <c r="G79" s="54">
        <f t="shared" si="6"/>
        <v>2</v>
      </c>
      <c r="H79" s="55"/>
      <c r="I79" s="56"/>
      <c r="J79" s="56"/>
      <c r="K79" s="56"/>
      <c r="L79" s="55">
        <v>44344</v>
      </c>
      <c r="M79" s="56">
        <v>16</v>
      </c>
      <c r="N79" s="56">
        <v>16</v>
      </c>
      <c r="O79" s="56">
        <v>1</v>
      </c>
      <c r="P79" s="55"/>
      <c r="Q79" s="56"/>
      <c r="R79" s="56"/>
      <c r="S79" s="56"/>
      <c r="T79" s="239">
        <v>44540</v>
      </c>
      <c r="U79" s="240">
        <v>13</v>
      </c>
      <c r="V79" s="240">
        <v>13</v>
      </c>
      <c r="W79" s="240">
        <v>1</v>
      </c>
      <c r="X79" s="149"/>
      <c r="Y79" s="56"/>
      <c r="Z79" s="56"/>
      <c r="AA79" s="57"/>
    </row>
    <row r="80" spans="1:27" s="14" customFormat="1" ht="20.100000000000001" customHeight="1" x14ac:dyDescent="0.15">
      <c r="A80" s="345"/>
      <c r="B80" s="346"/>
      <c r="C80" s="59" t="s">
        <v>131</v>
      </c>
      <c r="D80" s="59"/>
      <c r="E80" s="60">
        <f t="shared" si="4"/>
        <v>0</v>
      </c>
      <c r="F80" s="60">
        <f t="shared" si="5"/>
        <v>0</v>
      </c>
      <c r="G80" s="60">
        <f t="shared" si="6"/>
        <v>0</v>
      </c>
      <c r="H80" s="61"/>
      <c r="I80" s="62"/>
      <c r="J80" s="62"/>
      <c r="K80" s="62"/>
      <c r="L80" s="61"/>
      <c r="M80" s="62"/>
      <c r="N80" s="62"/>
      <c r="O80" s="62"/>
      <c r="P80" s="61"/>
      <c r="Q80" s="62"/>
      <c r="R80" s="62"/>
      <c r="S80" s="62"/>
      <c r="T80" s="241"/>
      <c r="U80" s="242"/>
      <c r="V80" s="242"/>
      <c r="W80" s="242"/>
      <c r="X80" s="150"/>
      <c r="Y80" s="62"/>
      <c r="Z80" s="62"/>
      <c r="AA80" s="63"/>
    </row>
  </sheetData>
  <mergeCells count="43">
    <mergeCell ref="AB1:AD1"/>
    <mergeCell ref="H2:AA2"/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  <mergeCell ref="A24:A25"/>
    <mergeCell ref="A26:A27"/>
    <mergeCell ref="B26:B27"/>
    <mergeCell ref="A28:A35"/>
    <mergeCell ref="B28:B30"/>
    <mergeCell ref="B32:B34"/>
    <mergeCell ref="X3:AA3"/>
    <mergeCell ref="A6:A23"/>
    <mergeCell ref="B6:B8"/>
    <mergeCell ref="B10:B15"/>
    <mergeCell ref="B16:B17"/>
    <mergeCell ref="B18:B20"/>
    <mergeCell ref="B21:B23"/>
    <mergeCell ref="A5:C5"/>
    <mergeCell ref="A1:V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T3:W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6DAF1"/>
  </sheetPr>
  <dimension ref="A1:AA80"/>
  <sheetViews>
    <sheetView zoomScale="106" zoomScaleNormal="106" zoomScaleSheetLayoutView="75" workbookViewId="0">
      <pane xSplit="3" ySplit="4" topLeftCell="D50" activePane="bottomRight" state="frozen"/>
      <selection pane="topRight"/>
      <selection pane="bottomLeft"/>
      <selection pane="bottomRight" activeCell="AE53" sqref="AE53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7" width="5.5546875" customWidth="1"/>
  </cols>
  <sheetData>
    <row r="1" spans="1:27" ht="24.75" customHeight="1" x14ac:dyDescent="0.15">
      <c r="A1" s="325" t="s">
        <v>156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16"/>
      <c r="AA1" s="16"/>
    </row>
    <row r="2" spans="1:27" ht="20.100000000000001" customHeight="1" x14ac:dyDescent="0.15">
      <c r="A2" s="326" t="s">
        <v>73</v>
      </c>
      <c r="B2" s="329" t="s">
        <v>151</v>
      </c>
      <c r="C2" s="329" t="s">
        <v>108</v>
      </c>
      <c r="D2" s="329" t="s">
        <v>94</v>
      </c>
      <c r="E2" s="329"/>
      <c r="F2" s="329"/>
      <c r="G2" s="329"/>
      <c r="H2" s="351" t="s">
        <v>162</v>
      </c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80"/>
      <c r="Y2" s="380"/>
      <c r="Z2" s="380"/>
      <c r="AA2" s="381"/>
    </row>
    <row r="3" spans="1:27" ht="17.25" customHeight="1" x14ac:dyDescent="0.15">
      <c r="A3" s="327"/>
      <c r="B3" s="330"/>
      <c r="C3" s="330"/>
      <c r="D3" s="330" t="s">
        <v>134</v>
      </c>
      <c r="E3" s="330" t="s">
        <v>128</v>
      </c>
      <c r="F3" s="330" t="s">
        <v>70</v>
      </c>
      <c r="G3" s="330" t="s">
        <v>198</v>
      </c>
      <c r="H3" s="330" t="s">
        <v>122</v>
      </c>
      <c r="I3" s="335"/>
      <c r="J3" s="335"/>
      <c r="K3" s="335"/>
      <c r="L3" s="330" t="s">
        <v>106</v>
      </c>
      <c r="M3" s="330"/>
      <c r="N3" s="330"/>
      <c r="O3" s="330"/>
      <c r="P3" s="330" t="s">
        <v>7</v>
      </c>
      <c r="Q3" s="330"/>
      <c r="R3" s="330"/>
      <c r="S3" s="330"/>
      <c r="T3" s="354" t="s">
        <v>46</v>
      </c>
      <c r="U3" s="354"/>
      <c r="V3" s="354"/>
      <c r="W3" s="354"/>
      <c r="X3" s="337" t="s">
        <v>56</v>
      </c>
      <c r="Y3" s="330"/>
      <c r="Z3" s="330"/>
      <c r="AA3" s="336"/>
    </row>
    <row r="4" spans="1:27" ht="26.25" customHeight="1" x14ac:dyDescent="0.15">
      <c r="A4" s="328"/>
      <c r="B4" s="331"/>
      <c r="C4" s="331"/>
      <c r="D4" s="331"/>
      <c r="E4" s="331"/>
      <c r="F4" s="331"/>
      <c r="G4" s="331"/>
      <c r="H4" s="141" t="s">
        <v>26</v>
      </c>
      <c r="I4" s="141" t="s">
        <v>128</v>
      </c>
      <c r="J4" s="141" t="s">
        <v>70</v>
      </c>
      <c r="K4" s="64" t="s">
        <v>28</v>
      </c>
      <c r="L4" s="141" t="s">
        <v>26</v>
      </c>
      <c r="M4" s="141" t="s">
        <v>128</v>
      </c>
      <c r="N4" s="141" t="s">
        <v>70</v>
      </c>
      <c r="O4" s="64" t="s">
        <v>28</v>
      </c>
      <c r="P4" s="141" t="s">
        <v>26</v>
      </c>
      <c r="Q4" s="141" t="s">
        <v>128</v>
      </c>
      <c r="R4" s="141" t="s">
        <v>70</v>
      </c>
      <c r="S4" s="64" t="s">
        <v>28</v>
      </c>
      <c r="T4" s="230" t="s">
        <v>26</v>
      </c>
      <c r="U4" s="230" t="s">
        <v>128</v>
      </c>
      <c r="V4" s="230" t="s">
        <v>70</v>
      </c>
      <c r="W4" s="231" t="s">
        <v>28</v>
      </c>
      <c r="X4" s="146" t="s">
        <v>26</v>
      </c>
      <c r="Y4" s="65" t="s">
        <v>128</v>
      </c>
      <c r="Z4" s="65" t="s">
        <v>70</v>
      </c>
      <c r="AA4" s="66" t="s">
        <v>200</v>
      </c>
    </row>
    <row r="5" spans="1:27" ht="23.25" customHeight="1" x14ac:dyDescent="0.15">
      <c r="A5" s="340" t="s">
        <v>6</v>
      </c>
      <c r="B5" s="341"/>
      <c r="C5" s="342"/>
      <c r="D5" s="95"/>
      <c r="E5" s="96">
        <f>SUM(E6:E80)</f>
        <v>437</v>
      </c>
      <c r="F5" s="96">
        <f>SUM(F6:F80)</f>
        <v>437</v>
      </c>
      <c r="G5" s="96">
        <f>SUM(G6:G80)</f>
        <v>123</v>
      </c>
      <c r="H5" s="96"/>
      <c r="I5" s="96">
        <f>SUM(I6:I80)</f>
        <v>72</v>
      </c>
      <c r="J5" s="96">
        <f>SUM(J6:J80)</f>
        <v>72</v>
      </c>
      <c r="K5" s="96">
        <f>SUM(K6:K80)</f>
        <v>22</v>
      </c>
      <c r="L5" s="96"/>
      <c r="M5" s="96">
        <f>SUM(M6:M80)</f>
        <v>163</v>
      </c>
      <c r="N5" s="96">
        <f>SUM(N6:N80)</f>
        <v>163</v>
      </c>
      <c r="O5" s="96">
        <f>SUM(O6:O80)</f>
        <v>45</v>
      </c>
      <c r="P5" s="96"/>
      <c r="Q5" s="96">
        <f>SUM(Q6:Q80)</f>
        <v>73</v>
      </c>
      <c r="R5" s="96">
        <f>SUM(R6:R80)</f>
        <v>73</v>
      </c>
      <c r="S5" s="96"/>
      <c r="T5" s="226"/>
      <c r="U5" s="226">
        <f>SUM(U6:U80)</f>
        <v>101</v>
      </c>
      <c r="V5" s="226">
        <f>SUM(V6:V80)</f>
        <v>101</v>
      </c>
      <c r="W5" s="226">
        <f>SUM(W6:W80)</f>
        <v>16</v>
      </c>
      <c r="X5" s="147"/>
      <c r="Y5" s="144">
        <f>SUM(Y6:Y80)</f>
        <v>28</v>
      </c>
      <c r="Z5" s="144">
        <f>SUM(Z6:Z80)</f>
        <v>28</v>
      </c>
      <c r="AA5" s="145">
        <f>SUM(AA6:AA80)</f>
        <v>16</v>
      </c>
    </row>
    <row r="6" spans="1:27" s="14" customFormat="1" ht="20.100000000000001" customHeight="1" x14ac:dyDescent="0.15">
      <c r="A6" s="338" t="s">
        <v>84</v>
      </c>
      <c r="B6" s="329" t="s">
        <v>111</v>
      </c>
      <c r="C6" s="154" t="s">
        <v>101</v>
      </c>
      <c r="D6" s="79"/>
      <c r="E6" s="168">
        <f>SUM(I6,M6,Q6,U6,Y6)</f>
        <v>0</v>
      </c>
      <c r="F6" s="168">
        <f t="shared" ref="F6:G6" si="0">SUM(J6,N6,R6,V6,Z6)</f>
        <v>0</v>
      </c>
      <c r="G6" s="168">
        <f t="shared" si="0"/>
        <v>0</v>
      </c>
      <c r="H6" s="98"/>
      <c r="I6" s="99"/>
      <c r="J6" s="99"/>
      <c r="K6" s="99"/>
      <c r="L6" s="98"/>
      <c r="M6" s="99"/>
      <c r="N6" s="99"/>
      <c r="O6" s="99"/>
      <c r="P6" s="98"/>
      <c r="Q6" s="99"/>
      <c r="R6" s="99"/>
      <c r="S6" s="99"/>
      <c r="T6" s="232"/>
      <c r="U6" s="233"/>
      <c r="V6" s="233"/>
      <c r="W6" s="233"/>
      <c r="X6" s="148"/>
      <c r="Y6" s="142"/>
      <c r="Z6" s="142"/>
      <c r="AA6" s="143"/>
    </row>
    <row r="7" spans="1:27" s="14" customFormat="1" ht="20.100000000000001" customHeight="1" x14ac:dyDescent="0.15">
      <c r="A7" s="339"/>
      <c r="B7" s="330"/>
      <c r="C7" s="155" t="s">
        <v>121</v>
      </c>
      <c r="D7" s="53">
        <v>1</v>
      </c>
      <c r="E7" s="54">
        <f>SUM(I7,M7,Q7,U7,Y7)</f>
        <v>4</v>
      </c>
      <c r="F7" s="54">
        <f>SUM(J7,N7,R7,V7,Z7)</f>
        <v>4</v>
      </c>
      <c r="G7" s="54">
        <f>SUM(K7,O7,S7,W7,AA7)</f>
        <v>2</v>
      </c>
      <c r="H7" s="55"/>
      <c r="I7" s="56"/>
      <c r="J7" s="56"/>
      <c r="K7" s="56"/>
      <c r="L7" s="55"/>
      <c r="M7" s="56"/>
      <c r="N7" s="56"/>
      <c r="O7" s="56"/>
      <c r="P7" s="55">
        <v>44378</v>
      </c>
      <c r="Q7" s="56">
        <v>4</v>
      </c>
      <c r="R7" s="56">
        <v>4</v>
      </c>
      <c r="S7" s="56">
        <v>2</v>
      </c>
      <c r="T7" s="221"/>
      <c r="U7" s="227"/>
      <c r="V7" s="227"/>
      <c r="W7" s="227"/>
      <c r="X7" s="149"/>
      <c r="Y7" s="56"/>
      <c r="Z7" s="56"/>
      <c r="AA7" s="57"/>
    </row>
    <row r="8" spans="1:27" s="14" customFormat="1" ht="20.100000000000001" customHeight="1" x14ac:dyDescent="0.15">
      <c r="A8" s="339"/>
      <c r="B8" s="330"/>
      <c r="C8" s="155" t="s">
        <v>146</v>
      </c>
      <c r="D8" s="53">
        <v>3</v>
      </c>
      <c r="E8" s="54">
        <f t="shared" ref="E8:E71" si="1">SUM(I8,M8,Q8,U8,Y8)</f>
        <v>29</v>
      </c>
      <c r="F8" s="54">
        <f t="shared" ref="F8:F71" si="2">SUM(J8,N8,R8,V8,Z8)</f>
        <v>29</v>
      </c>
      <c r="G8" s="54">
        <f t="shared" ref="G8:G71" si="3">SUM(K8,O8,S8,W8,AA8)</f>
        <v>12</v>
      </c>
      <c r="H8" s="55"/>
      <c r="I8" s="56"/>
      <c r="J8" s="56"/>
      <c r="K8" s="56"/>
      <c r="L8" s="55">
        <v>44334</v>
      </c>
      <c r="M8" s="56">
        <v>20</v>
      </c>
      <c r="N8" s="56">
        <v>20</v>
      </c>
      <c r="O8" s="56">
        <v>6</v>
      </c>
      <c r="P8" s="55">
        <v>44396</v>
      </c>
      <c r="Q8" s="56">
        <v>9</v>
      </c>
      <c r="R8" s="56">
        <v>9</v>
      </c>
      <c r="S8" s="56">
        <v>6</v>
      </c>
      <c r="T8" s="221"/>
      <c r="U8" s="227"/>
      <c r="V8" s="227"/>
      <c r="W8" s="227"/>
      <c r="X8" s="149"/>
      <c r="Y8" s="56"/>
      <c r="Z8" s="56"/>
      <c r="AA8" s="57"/>
    </row>
    <row r="9" spans="1:27" s="14" customFormat="1" ht="20.100000000000001" customHeight="1" x14ac:dyDescent="0.15">
      <c r="A9" s="339"/>
      <c r="B9" s="155" t="s">
        <v>52</v>
      </c>
      <c r="C9" s="155" t="s">
        <v>238</v>
      </c>
      <c r="D9" s="53"/>
      <c r="E9" s="54">
        <f t="shared" si="1"/>
        <v>0</v>
      </c>
      <c r="F9" s="54">
        <f t="shared" si="2"/>
        <v>0</v>
      </c>
      <c r="G9" s="54">
        <f t="shared" si="3"/>
        <v>0</v>
      </c>
      <c r="H9" s="55"/>
      <c r="I9" s="56"/>
      <c r="J9" s="56"/>
      <c r="K9" s="56"/>
      <c r="L9" s="55"/>
      <c r="M9" s="56"/>
      <c r="N9" s="56"/>
      <c r="O9" s="56"/>
      <c r="P9" s="55"/>
      <c r="Q9" s="56"/>
      <c r="R9" s="56"/>
      <c r="S9" s="56"/>
      <c r="T9" s="221"/>
      <c r="U9" s="227"/>
      <c r="V9" s="227"/>
      <c r="W9" s="227"/>
      <c r="X9" s="149"/>
      <c r="Y9" s="56"/>
      <c r="Z9" s="56"/>
      <c r="AA9" s="57"/>
    </row>
    <row r="10" spans="1:27" s="14" customFormat="1" ht="20.100000000000001" customHeight="1" x14ac:dyDescent="0.15">
      <c r="A10" s="339"/>
      <c r="B10" s="330" t="s">
        <v>47</v>
      </c>
      <c r="C10" s="155" t="s">
        <v>86</v>
      </c>
      <c r="D10" s="53"/>
      <c r="E10" s="54">
        <f t="shared" si="1"/>
        <v>0</v>
      </c>
      <c r="F10" s="54">
        <f t="shared" si="2"/>
        <v>0</v>
      </c>
      <c r="G10" s="54">
        <f t="shared" si="3"/>
        <v>0</v>
      </c>
      <c r="H10" s="55"/>
      <c r="I10" s="56"/>
      <c r="J10" s="56"/>
      <c r="K10" s="56"/>
      <c r="L10" s="55"/>
      <c r="M10" s="56"/>
      <c r="N10" s="56"/>
      <c r="O10" s="56"/>
      <c r="P10" s="55"/>
      <c r="Q10" s="56"/>
      <c r="R10" s="56"/>
      <c r="S10" s="56"/>
      <c r="T10" s="221"/>
      <c r="U10" s="227"/>
      <c r="V10" s="227"/>
      <c r="W10" s="227"/>
      <c r="X10" s="149"/>
      <c r="Y10" s="56"/>
      <c r="Z10" s="56"/>
      <c r="AA10" s="57"/>
    </row>
    <row r="11" spans="1:27" s="14" customFormat="1" ht="20.100000000000001" customHeight="1" x14ac:dyDescent="0.15">
      <c r="A11" s="339"/>
      <c r="B11" s="330"/>
      <c r="C11" s="155" t="s">
        <v>114</v>
      </c>
      <c r="D11" s="53">
        <v>2</v>
      </c>
      <c r="E11" s="54">
        <f t="shared" si="1"/>
        <v>3</v>
      </c>
      <c r="F11" s="54">
        <f t="shared" si="2"/>
        <v>3</v>
      </c>
      <c r="G11" s="54">
        <f t="shared" si="3"/>
        <v>2</v>
      </c>
      <c r="H11" s="55"/>
      <c r="I11" s="56"/>
      <c r="J11" s="56"/>
      <c r="K11" s="56"/>
      <c r="L11" s="55">
        <v>44336</v>
      </c>
      <c r="M11" s="56">
        <v>3</v>
      </c>
      <c r="N11" s="56">
        <v>3</v>
      </c>
      <c r="O11" s="56">
        <v>2</v>
      </c>
      <c r="P11" s="55"/>
      <c r="Q11" s="56"/>
      <c r="R11" s="56"/>
      <c r="S11" s="56"/>
      <c r="T11" s="221"/>
      <c r="U11" s="227"/>
      <c r="V11" s="227"/>
      <c r="W11" s="227"/>
      <c r="X11" s="149"/>
      <c r="Y11" s="56"/>
      <c r="Z11" s="56"/>
      <c r="AA11" s="57"/>
    </row>
    <row r="12" spans="1:27" s="14" customFormat="1" ht="20.100000000000001" customHeight="1" x14ac:dyDescent="0.15">
      <c r="A12" s="339"/>
      <c r="B12" s="330"/>
      <c r="C12" s="155" t="s">
        <v>139</v>
      </c>
      <c r="D12" s="53">
        <v>1</v>
      </c>
      <c r="E12" s="54">
        <f t="shared" si="1"/>
        <v>2</v>
      </c>
      <c r="F12" s="54">
        <f t="shared" si="2"/>
        <v>2</v>
      </c>
      <c r="G12" s="54">
        <f t="shared" si="3"/>
        <v>0</v>
      </c>
      <c r="H12" s="55"/>
      <c r="I12" s="56"/>
      <c r="J12" s="56"/>
      <c r="K12" s="56"/>
      <c r="L12" s="55"/>
      <c r="M12" s="56"/>
      <c r="N12" s="56"/>
      <c r="O12" s="56"/>
      <c r="P12" s="55">
        <v>44477</v>
      </c>
      <c r="Q12" s="56">
        <v>2</v>
      </c>
      <c r="R12" s="56">
        <v>2</v>
      </c>
      <c r="S12" s="56">
        <v>0</v>
      </c>
      <c r="T12" s="221"/>
      <c r="U12" s="227"/>
      <c r="V12" s="227"/>
      <c r="W12" s="227"/>
      <c r="X12" s="149"/>
      <c r="Y12" s="56"/>
      <c r="Z12" s="56"/>
      <c r="AA12" s="57"/>
    </row>
    <row r="13" spans="1:27" s="14" customFormat="1" ht="20.100000000000001" customHeight="1" x14ac:dyDescent="0.15">
      <c r="A13" s="339"/>
      <c r="B13" s="330"/>
      <c r="C13" s="155" t="s">
        <v>126</v>
      </c>
      <c r="D13" s="53">
        <v>1</v>
      </c>
      <c r="E13" s="54">
        <f t="shared" si="1"/>
        <v>3</v>
      </c>
      <c r="F13" s="54">
        <f t="shared" si="2"/>
        <v>3</v>
      </c>
      <c r="G13" s="54">
        <f t="shared" si="3"/>
        <v>0</v>
      </c>
      <c r="H13" s="55">
        <v>44291</v>
      </c>
      <c r="I13" s="56">
        <v>3</v>
      </c>
      <c r="J13" s="56">
        <v>3</v>
      </c>
      <c r="K13" s="56">
        <v>0</v>
      </c>
      <c r="L13" s="55"/>
      <c r="M13" s="56"/>
      <c r="N13" s="56"/>
      <c r="O13" s="56"/>
      <c r="P13" s="55"/>
      <c r="Q13" s="56"/>
      <c r="R13" s="56"/>
      <c r="S13" s="56"/>
      <c r="T13" s="221"/>
      <c r="U13" s="227"/>
      <c r="V13" s="227"/>
      <c r="W13" s="227"/>
      <c r="X13" s="149"/>
      <c r="Y13" s="56"/>
      <c r="Z13" s="56"/>
      <c r="AA13" s="57"/>
    </row>
    <row r="14" spans="1:27" s="14" customFormat="1" ht="20.100000000000001" customHeight="1" x14ac:dyDescent="0.15">
      <c r="A14" s="339"/>
      <c r="B14" s="330"/>
      <c r="C14" s="155" t="s">
        <v>48</v>
      </c>
      <c r="D14" s="53">
        <v>2</v>
      </c>
      <c r="E14" s="54">
        <f t="shared" si="1"/>
        <v>14</v>
      </c>
      <c r="F14" s="54">
        <f t="shared" si="2"/>
        <v>14</v>
      </c>
      <c r="G14" s="54">
        <f t="shared" si="3"/>
        <v>4</v>
      </c>
      <c r="H14" s="55"/>
      <c r="I14" s="56"/>
      <c r="J14" s="56"/>
      <c r="K14" s="56"/>
      <c r="L14" s="55">
        <v>44342</v>
      </c>
      <c r="M14" s="56">
        <v>12</v>
      </c>
      <c r="N14" s="56">
        <v>12</v>
      </c>
      <c r="O14" s="56">
        <v>4</v>
      </c>
      <c r="P14" s="55"/>
      <c r="Q14" s="56"/>
      <c r="R14" s="56"/>
      <c r="S14" s="56"/>
      <c r="T14" s="221">
        <v>44537</v>
      </c>
      <c r="U14" s="227">
        <v>2</v>
      </c>
      <c r="V14" s="227">
        <v>2</v>
      </c>
      <c r="W14" s="227">
        <v>0</v>
      </c>
      <c r="X14" s="149"/>
      <c r="Y14" s="56"/>
      <c r="Z14" s="56"/>
      <c r="AA14" s="57"/>
    </row>
    <row r="15" spans="1:27" s="14" customFormat="1" ht="20.100000000000001" customHeight="1" x14ac:dyDescent="0.15">
      <c r="A15" s="339"/>
      <c r="B15" s="330"/>
      <c r="C15" s="155" t="s">
        <v>145</v>
      </c>
      <c r="D15" s="53">
        <v>1</v>
      </c>
      <c r="E15" s="54">
        <f t="shared" si="1"/>
        <v>2</v>
      </c>
      <c r="F15" s="54">
        <f t="shared" si="2"/>
        <v>2</v>
      </c>
      <c r="G15" s="54">
        <f t="shared" si="3"/>
        <v>0</v>
      </c>
      <c r="H15" s="55">
        <v>44280</v>
      </c>
      <c r="I15" s="56">
        <v>2</v>
      </c>
      <c r="J15" s="56">
        <v>2</v>
      </c>
      <c r="K15" s="56">
        <v>0</v>
      </c>
      <c r="L15" s="55"/>
      <c r="M15" s="56"/>
      <c r="N15" s="56"/>
      <c r="O15" s="56"/>
      <c r="P15" s="55"/>
      <c r="Q15" s="56"/>
      <c r="R15" s="56"/>
      <c r="S15" s="56"/>
      <c r="T15" s="221"/>
      <c r="U15" s="227"/>
      <c r="V15" s="227"/>
      <c r="W15" s="227"/>
      <c r="X15" s="149"/>
      <c r="Y15" s="56"/>
      <c r="Z15" s="56"/>
      <c r="AA15" s="57"/>
    </row>
    <row r="16" spans="1:27" s="14" customFormat="1" ht="20.100000000000001" customHeight="1" x14ac:dyDescent="0.15">
      <c r="A16" s="339"/>
      <c r="B16" s="330" t="s">
        <v>89</v>
      </c>
      <c r="C16" s="159" t="s">
        <v>214</v>
      </c>
      <c r="D16" s="53">
        <v>2</v>
      </c>
      <c r="E16" s="54">
        <f t="shared" si="1"/>
        <v>19</v>
      </c>
      <c r="F16" s="54">
        <f t="shared" si="2"/>
        <v>19</v>
      </c>
      <c r="G16" s="54">
        <f t="shared" si="3"/>
        <v>6</v>
      </c>
      <c r="H16" s="55"/>
      <c r="I16" s="56"/>
      <c r="J16" s="56"/>
      <c r="K16" s="56"/>
      <c r="L16" s="55">
        <v>44370</v>
      </c>
      <c r="M16" s="56">
        <v>13</v>
      </c>
      <c r="N16" s="56">
        <v>13</v>
      </c>
      <c r="O16" s="56">
        <v>5</v>
      </c>
      <c r="P16" s="55"/>
      <c r="Q16" s="56"/>
      <c r="R16" s="56"/>
      <c r="S16" s="56"/>
      <c r="T16" s="221">
        <v>44529</v>
      </c>
      <c r="U16" s="227">
        <v>6</v>
      </c>
      <c r="V16" s="227">
        <v>6</v>
      </c>
      <c r="W16" s="227">
        <v>1</v>
      </c>
      <c r="X16" s="149"/>
      <c r="Y16" s="56"/>
      <c r="Z16" s="56"/>
      <c r="AA16" s="57"/>
    </row>
    <row r="17" spans="1:27" s="14" customFormat="1" ht="20.100000000000001" customHeight="1" x14ac:dyDescent="0.15">
      <c r="A17" s="339"/>
      <c r="B17" s="330"/>
      <c r="C17" s="159" t="s">
        <v>201</v>
      </c>
      <c r="D17" s="53"/>
      <c r="E17" s="54">
        <f t="shared" si="1"/>
        <v>4</v>
      </c>
      <c r="F17" s="54">
        <f t="shared" si="2"/>
        <v>4</v>
      </c>
      <c r="G17" s="54">
        <f t="shared" si="3"/>
        <v>0</v>
      </c>
      <c r="H17" s="55"/>
      <c r="I17" s="56"/>
      <c r="J17" s="56"/>
      <c r="K17" s="56"/>
      <c r="L17" s="55"/>
      <c r="M17" s="56"/>
      <c r="N17" s="56"/>
      <c r="O17" s="56"/>
      <c r="P17" s="55"/>
      <c r="Q17" s="56"/>
      <c r="R17" s="56"/>
      <c r="S17" s="56"/>
      <c r="T17" s="221">
        <v>44529</v>
      </c>
      <c r="U17" s="227">
        <v>4</v>
      </c>
      <c r="V17" s="227">
        <v>4</v>
      </c>
      <c r="W17" s="227">
        <v>0</v>
      </c>
      <c r="X17" s="149"/>
      <c r="Y17" s="56"/>
      <c r="Z17" s="56"/>
      <c r="AA17" s="57"/>
    </row>
    <row r="18" spans="1:27" s="14" customFormat="1" ht="20.100000000000001" customHeight="1" x14ac:dyDescent="0.15">
      <c r="A18" s="339"/>
      <c r="B18" s="330" t="s">
        <v>97</v>
      </c>
      <c r="C18" s="155" t="s">
        <v>21</v>
      </c>
      <c r="D18" s="53">
        <v>1</v>
      </c>
      <c r="E18" s="54">
        <f t="shared" si="1"/>
        <v>8</v>
      </c>
      <c r="F18" s="54">
        <f t="shared" si="2"/>
        <v>8</v>
      </c>
      <c r="G18" s="54">
        <f t="shared" si="3"/>
        <v>3</v>
      </c>
      <c r="H18" s="55">
        <v>44294</v>
      </c>
      <c r="I18" s="56">
        <v>8</v>
      </c>
      <c r="J18" s="56">
        <v>8</v>
      </c>
      <c r="K18" s="56">
        <v>3</v>
      </c>
      <c r="L18" s="55"/>
      <c r="M18" s="56"/>
      <c r="N18" s="56"/>
      <c r="O18" s="56"/>
      <c r="P18" s="55"/>
      <c r="Q18" s="56"/>
      <c r="R18" s="56"/>
      <c r="S18" s="56"/>
      <c r="T18" s="221"/>
      <c r="U18" s="227"/>
      <c r="V18" s="227"/>
      <c r="W18" s="227"/>
      <c r="X18" s="149"/>
      <c r="Y18" s="56"/>
      <c r="Z18" s="56"/>
      <c r="AA18" s="57"/>
    </row>
    <row r="19" spans="1:27" s="14" customFormat="1" ht="20.100000000000001" customHeight="1" x14ac:dyDescent="0.15">
      <c r="A19" s="339"/>
      <c r="B19" s="330"/>
      <c r="C19" s="155" t="s">
        <v>35</v>
      </c>
      <c r="D19" s="53">
        <v>1</v>
      </c>
      <c r="E19" s="54">
        <f t="shared" si="1"/>
        <v>5</v>
      </c>
      <c r="F19" s="54">
        <f t="shared" si="2"/>
        <v>5</v>
      </c>
      <c r="G19" s="54">
        <f t="shared" si="3"/>
        <v>1</v>
      </c>
      <c r="H19" s="55"/>
      <c r="I19" s="56"/>
      <c r="J19" s="56"/>
      <c r="K19" s="56"/>
      <c r="L19" s="55"/>
      <c r="M19" s="56"/>
      <c r="N19" s="56"/>
      <c r="O19" s="56"/>
      <c r="P19" s="55">
        <v>44384</v>
      </c>
      <c r="Q19" s="56">
        <v>5</v>
      </c>
      <c r="R19" s="56">
        <v>5</v>
      </c>
      <c r="S19" s="56">
        <v>1</v>
      </c>
      <c r="T19" s="221"/>
      <c r="U19" s="227"/>
      <c r="V19" s="227"/>
      <c r="W19" s="227"/>
      <c r="X19" s="149"/>
      <c r="Y19" s="56"/>
      <c r="Z19" s="56"/>
      <c r="AA19" s="57"/>
    </row>
    <row r="20" spans="1:27" s="14" customFormat="1" ht="20.100000000000001" customHeight="1" x14ac:dyDescent="0.15">
      <c r="A20" s="339"/>
      <c r="B20" s="330"/>
      <c r="C20" s="155" t="s">
        <v>4</v>
      </c>
      <c r="D20" s="53">
        <v>2</v>
      </c>
      <c r="E20" s="54">
        <f t="shared" si="1"/>
        <v>27</v>
      </c>
      <c r="F20" s="54">
        <f t="shared" si="2"/>
        <v>27</v>
      </c>
      <c r="G20" s="54">
        <f t="shared" si="3"/>
        <v>3</v>
      </c>
      <c r="H20" s="55"/>
      <c r="I20" s="56"/>
      <c r="J20" s="56"/>
      <c r="K20" s="56"/>
      <c r="L20" s="55">
        <v>44308</v>
      </c>
      <c r="M20" s="56">
        <v>22</v>
      </c>
      <c r="N20" s="56">
        <v>22</v>
      </c>
      <c r="O20" s="56">
        <v>2</v>
      </c>
      <c r="P20" s="55">
        <v>44382</v>
      </c>
      <c r="Q20" s="56">
        <v>5</v>
      </c>
      <c r="R20" s="56">
        <v>5</v>
      </c>
      <c r="S20" s="56">
        <v>1</v>
      </c>
      <c r="T20" s="221"/>
      <c r="U20" s="227"/>
      <c r="V20" s="227"/>
      <c r="W20" s="227"/>
      <c r="X20" s="149"/>
      <c r="Y20" s="56"/>
      <c r="Z20" s="56"/>
      <c r="AA20" s="57"/>
    </row>
    <row r="21" spans="1:27" s="14" customFormat="1" ht="20.100000000000001" customHeight="1" x14ac:dyDescent="0.15">
      <c r="A21" s="339"/>
      <c r="B21" s="330" t="s">
        <v>92</v>
      </c>
      <c r="C21" s="155" t="s">
        <v>23</v>
      </c>
      <c r="D21" s="53">
        <v>2</v>
      </c>
      <c r="E21" s="54">
        <f t="shared" si="1"/>
        <v>17</v>
      </c>
      <c r="F21" s="54">
        <f t="shared" si="2"/>
        <v>17</v>
      </c>
      <c r="G21" s="54">
        <f t="shared" si="3"/>
        <v>9</v>
      </c>
      <c r="H21" s="55"/>
      <c r="I21" s="56"/>
      <c r="J21" s="56"/>
      <c r="K21" s="56"/>
      <c r="L21" s="55">
        <v>44371</v>
      </c>
      <c r="M21" s="56">
        <v>12</v>
      </c>
      <c r="N21" s="56">
        <v>12</v>
      </c>
      <c r="O21" s="56">
        <v>9</v>
      </c>
      <c r="P21" s="55"/>
      <c r="Q21" s="56"/>
      <c r="R21" s="56"/>
      <c r="S21" s="56"/>
      <c r="T21" s="221">
        <v>44495</v>
      </c>
      <c r="U21" s="227">
        <v>5</v>
      </c>
      <c r="V21" s="227">
        <v>5</v>
      </c>
      <c r="W21" s="227">
        <v>0</v>
      </c>
      <c r="X21" s="149"/>
      <c r="Y21" s="56"/>
      <c r="Z21" s="56"/>
      <c r="AA21" s="57"/>
    </row>
    <row r="22" spans="1:27" s="14" customFormat="1" ht="20.100000000000001" customHeight="1" x14ac:dyDescent="0.15">
      <c r="A22" s="339"/>
      <c r="B22" s="330"/>
      <c r="C22" s="155" t="s">
        <v>124</v>
      </c>
      <c r="D22" s="53"/>
      <c r="E22" s="54">
        <f t="shared" si="1"/>
        <v>0</v>
      </c>
      <c r="F22" s="54">
        <f t="shared" si="2"/>
        <v>0</v>
      </c>
      <c r="G22" s="54">
        <f t="shared" si="3"/>
        <v>0</v>
      </c>
      <c r="H22" s="55"/>
      <c r="I22" s="56"/>
      <c r="J22" s="56"/>
      <c r="K22" s="56"/>
      <c r="L22" s="55"/>
      <c r="M22" s="56"/>
      <c r="N22" s="56"/>
      <c r="O22" s="56"/>
      <c r="P22" s="55"/>
      <c r="Q22" s="56"/>
      <c r="R22" s="56"/>
      <c r="S22" s="56"/>
      <c r="T22" s="221"/>
      <c r="U22" s="227"/>
      <c r="V22" s="227"/>
      <c r="W22" s="227"/>
      <c r="X22" s="149"/>
      <c r="Y22" s="56"/>
      <c r="Z22" s="56"/>
      <c r="AA22" s="57"/>
    </row>
    <row r="23" spans="1:27" s="14" customFormat="1" ht="20.100000000000001" customHeight="1" x14ac:dyDescent="0.15">
      <c r="A23" s="339"/>
      <c r="B23" s="330"/>
      <c r="C23" s="155" t="s">
        <v>32</v>
      </c>
      <c r="D23" s="53"/>
      <c r="E23" s="54">
        <f t="shared" si="1"/>
        <v>0</v>
      </c>
      <c r="F23" s="54">
        <f t="shared" si="2"/>
        <v>0</v>
      </c>
      <c r="G23" s="54">
        <f t="shared" si="3"/>
        <v>0</v>
      </c>
      <c r="H23" s="55"/>
      <c r="I23" s="56"/>
      <c r="J23" s="56"/>
      <c r="K23" s="56"/>
      <c r="L23" s="55"/>
      <c r="M23" s="56"/>
      <c r="N23" s="56"/>
      <c r="O23" s="56"/>
      <c r="P23" s="55"/>
      <c r="Q23" s="56"/>
      <c r="R23" s="56"/>
      <c r="S23" s="56"/>
      <c r="T23" s="221"/>
      <c r="U23" s="227"/>
      <c r="V23" s="227"/>
      <c r="W23" s="227"/>
      <c r="X23" s="149"/>
      <c r="Y23" s="56"/>
      <c r="Z23" s="56"/>
      <c r="AA23" s="57"/>
    </row>
    <row r="24" spans="1:27" s="14" customFormat="1" ht="20.100000000000001" customHeight="1" x14ac:dyDescent="0.15">
      <c r="A24" s="343" t="s">
        <v>8</v>
      </c>
      <c r="B24" s="155" t="s">
        <v>59</v>
      </c>
      <c r="C24" s="155" t="s">
        <v>39</v>
      </c>
      <c r="D24" s="53"/>
      <c r="E24" s="54">
        <f t="shared" si="1"/>
        <v>0</v>
      </c>
      <c r="F24" s="54">
        <f t="shared" si="2"/>
        <v>0</v>
      </c>
      <c r="G24" s="54">
        <f t="shared" si="3"/>
        <v>0</v>
      </c>
      <c r="H24" s="55"/>
      <c r="I24" s="56"/>
      <c r="J24" s="56"/>
      <c r="K24" s="56"/>
      <c r="L24" s="55"/>
      <c r="M24" s="56"/>
      <c r="N24" s="56"/>
      <c r="O24" s="56"/>
      <c r="P24" s="55"/>
      <c r="Q24" s="56"/>
      <c r="R24" s="56"/>
      <c r="S24" s="56"/>
      <c r="T24" s="221"/>
      <c r="U24" s="227"/>
      <c r="V24" s="227"/>
      <c r="W24" s="227"/>
      <c r="X24" s="149"/>
      <c r="Y24" s="56"/>
      <c r="Z24" s="56"/>
      <c r="AA24" s="57"/>
    </row>
    <row r="25" spans="1:27" s="14" customFormat="1" ht="20.100000000000001" customHeight="1" x14ac:dyDescent="0.15">
      <c r="A25" s="344"/>
      <c r="B25" s="155" t="s">
        <v>102</v>
      </c>
      <c r="C25" s="155" t="s">
        <v>16</v>
      </c>
      <c r="D25" s="58"/>
      <c r="E25" s="54">
        <f t="shared" si="1"/>
        <v>0</v>
      </c>
      <c r="F25" s="54">
        <f t="shared" si="2"/>
        <v>0</v>
      </c>
      <c r="G25" s="54">
        <f t="shared" si="3"/>
        <v>0</v>
      </c>
      <c r="H25" s="55"/>
      <c r="I25" s="56"/>
      <c r="J25" s="56"/>
      <c r="K25" s="56"/>
      <c r="L25" s="55"/>
      <c r="M25" s="56"/>
      <c r="N25" s="56"/>
      <c r="O25" s="56"/>
      <c r="P25" s="55"/>
      <c r="Q25" s="56"/>
      <c r="R25" s="56"/>
      <c r="S25" s="56"/>
      <c r="T25" s="221"/>
      <c r="U25" s="227"/>
      <c r="V25" s="227"/>
      <c r="W25" s="227"/>
      <c r="X25" s="149"/>
      <c r="Y25" s="56"/>
      <c r="Z25" s="56"/>
      <c r="AA25" s="57"/>
    </row>
    <row r="26" spans="1:27" s="14" customFormat="1" ht="20.100000000000001" customHeight="1" x14ac:dyDescent="0.15">
      <c r="A26" s="339" t="s">
        <v>8</v>
      </c>
      <c r="B26" s="330" t="s">
        <v>102</v>
      </c>
      <c r="C26" s="155" t="s">
        <v>45</v>
      </c>
      <c r="D26" s="53"/>
      <c r="E26" s="54">
        <f t="shared" si="1"/>
        <v>0</v>
      </c>
      <c r="F26" s="54">
        <f t="shared" si="2"/>
        <v>0</v>
      </c>
      <c r="G26" s="54">
        <f t="shared" si="3"/>
        <v>0</v>
      </c>
      <c r="H26" s="55"/>
      <c r="I26" s="56"/>
      <c r="J26" s="56"/>
      <c r="K26" s="56"/>
      <c r="L26" s="55"/>
      <c r="M26" s="56"/>
      <c r="N26" s="56"/>
      <c r="O26" s="56"/>
      <c r="P26" s="55"/>
      <c r="Q26" s="56"/>
      <c r="R26" s="56"/>
      <c r="S26" s="56"/>
      <c r="T26" s="221"/>
      <c r="U26" s="227"/>
      <c r="V26" s="227"/>
      <c r="W26" s="227"/>
      <c r="X26" s="149"/>
      <c r="Y26" s="56"/>
      <c r="Z26" s="56"/>
      <c r="AA26" s="57"/>
    </row>
    <row r="27" spans="1:27" s="14" customFormat="1" ht="20.100000000000001" customHeight="1" x14ac:dyDescent="0.15">
      <c r="A27" s="339"/>
      <c r="B27" s="330"/>
      <c r="C27" s="155" t="s">
        <v>113</v>
      </c>
      <c r="D27" s="53">
        <v>1</v>
      </c>
      <c r="E27" s="54">
        <f t="shared" si="1"/>
        <v>5</v>
      </c>
      <c r="F27" s="54">
        <f t="shared" si="2"/>
        <v>5</v>
      </c>
      <c r="G27" s="54">
        <f t="shared" si="3"/>
        <v>4</v>
      </c>
      <c r="H27" s="55"/>
      <c r="I27" s="56"/>
      <c r="J27" s="56"/>
      <c r="K27" s="56"/>
      <c r="L27" s="55"/>
      <c r="M27" s="56"/>
      <c r="N27" s="56"/>
      <c r="O27" s="56"/>
      <c r="P27" s="55">
        <v>44399</v>
      </c>
      <c r="Q27" s="56">
        <v>5</v>
      </c>
      <c r="R27" s="56">
        <v>5</v>
      </c>
      <c r="S27" s="56">
        <v>4</v>
      </c>
      <c r="T27" s="221"/>
      <c r="U27" s="227"/>
      <c r="V27" s="227"/>
      <c r="W27" s="227"/>
      <c r="X27" s="149"/>
      <c r="Y27" s="56"/>
      <c r="Z27" s="56"/>
      <c r="AA27" s="57"/>
    </row>
    <row r="28" spans="1:27" s="14" customFormat="1" ht="20.100000000000001" customHeight="1" x14ac:dyDescent="0.15">
      <c r="A28" s="339" t="s">
        <v>84</v>
      </c>
      <c r="B28" s="330" t="s">
        <v>10</v>
      </c>
      <c r="C28" s="155" t="s">
        <v>138</v>
      </c>
      <c r="D28" s="53">
        <v>3</v>
      </c>
      <c r="E28" s="54">
        <f t="shared" si="1"/>
        <v>17</v>
      </c>
      <c r="F28" s="54">
        <f t="shared" si="2"/>
        <v>17</v>
      </c>
      <c r="G28" s="54">
        <f t="shared" si="3"/>
        <v>6</v>
      </c>
      <c r="H28" s="55"/>
      <c r="I28" s="56"/>
      <c r="J28" s="56"/>
      <c r="K28" s="56"/>
      <c r="L28" s="55">
        <v>44328</v>
      </c>
      <c r="M28" s="56">
        <v>9</v>
      </c>
      <c r="N28" s="56">
        <v>9</v>
      </c>
      <c r="O28" s="56">
        <v>1</v>
      </c>
      <c r="P28" s="55"/>
      <c r="Q28" s="56"/>
      <c r="R28" s="56"/>
      <c r="S28" s="56"/>
      <c r="T28" s="221"/>
      <c r="U28" s="227"/>
      <c r="V28" s="227"/>
      <c r="W28" s="227"/>
      <c r="X28" s="149">
        <v>44533</v>
      </c>
      <c r="Y28" s="56">
        <v>8</v>
      </c>
      <c r="Z28" s="56">
        <v>8</v>
      </c>
      <c r="AA28" s="57">
        <v>5</v>
      </c>
    </row>
    <row r="29" spans="1:27" s="14" customFormat="1" ht="20.100000000000001" customHeight="1" x14ac:dyDescent="0.15">
      <c r="A29" s="339"/>
      <c r="B29" s="330"/>
      <c r="C29" s="155" t="s">
        <v>77</v>
      </c>
      <c r="D29" s="53"/>
      <c r="E29" s="54">
        <f t="shared" si="1"/>
        <v>0</v>
      </c>
      <c r="F29" s="54">
        <f t="shared" si="2"/>
        <v>0</v>
      </c>
      <c r="G29" s="54">
        <f t="shared" si="3"/>
        <v>0</v>
      </c>
      <c r="H29" s="55"/>
      <c r="I29" s="56"/>
      <c r="J29" s="56"/>
      <c r="K29" s="56"/>
      <c r="L29" s="55"/>
      <c r="M29" s="56"/>
      <c r="N29" s="56"/>
      <c r="O29" s="56"/>
      <c r="P29" s="55"/>
      <c r="Q29" s="56"/>
      <c r="R29" s="56"/>
      <c r="S29" s="56"/>
      <c r="T29" s="221"/>
      <c r="U29" s="227"/>
      <c r="V29" s="227"/>
      <c r="W29" s="227"/>
      <c r="X29" s="149"/>
      <c r="Y29" s="56"/>
      <c r="Z29" s="56"/>
      <c r="AA29" s="57"/>
    </row>
    <row r="30" spans="1:27" s="14" customFormat="1" ht="20.100000000000001" customHeight="1" x14ac:dyDescent="0.15">
      <c r="A30" s="339"/>
      <c r="B30" s="330"/>
      <c r="C30" s="155" t="s">
        <v>76</v>
      </c>
      <c r="D30" s="53">
        <v>3</v>
      </c>
      <c r="E30" s="54">
        <f t="shared" si="1"/>
        <v>8</v>
      </c>
      <c r="F30" s="54">
        <f t="shared" si="2"/>
        <v>8</v>
      </c>
      <c r="G30" s="54">
        <f t="shared" si="3"/>
        <v>0</v>
      </c>
      <c r="H30" s="55">
        <v>44291</v>
      </c>
      <c r="I30" s="56">
        <v>2</v>
      </c>
      <c r="J30" s="56">
        <v>2</v>
      </c>
      <c r="K30" s="56">
        <v>0</v>
      </c>
      <c r="L30" s="55"/>
      <c r="M30" s="56"/>
      <c r="N30" s="56"/>
      <c r="O30" s="56"/>
      <c r="P30" s="55">
        <v>44376</v>
      </c>
      <c r="Q30" s="56">
        <v>1</v>
      </c>
      <c r="R30" s="56">
        <v>1</v>
      </c>
      <c r="S30" s="56">
        <v>0</v>
      </c>
      <c r="T30" s="221">
        <v>44501</v>
      </c>
      <c r="U30" s="227">
        <v>5</v>
      </c>
      <c r="V30" s="227">
        <v>5</v>
      </c>
      <c r="W30" s="227">
        <v>0</v>
      </c>
      <c r="X30" s="149"/>
      <c r="Y30" s="56"/>
      <c r="Z30" s="56"/>
      <c r="AA30" s="57"/>
    </row>
    <row r="31" spans="1:27" s="14" customFormat="1" ht="20.100000000000001" customHeight="1" x14ac:dyDescent="0.15">
      <c r="A31" s="339"/>
      <c r="B31" s="155" t="s">
        <v>104</v>
      </c>
      <c r="C31" s="155" t="s">
        <v>67</v>
      </c>
      <c r="D31" s="53"/>
      <c r="E31" s="54">
        <f t="shared" si="1"/>
        <v>0</v>
      </c>
      <c r="F31" s="54">
        <f t="shared" si="2"/>
        <v>0</v>
      </c>
      <c r="G31" s="54">
        <f t="shared" si="3"/>
        <v>0</v>
      </c>
      <c r="H31" s="55"/>
      <c r="I31" s="56"/>
      <c r="J31" s="56"/>
      <c r="K31" s="56"/>
      <c r="L31" s="55"/>
      <c r="M31" s="56"/>
      <c r="N31" s="56"/>
      <c r="O31" s="56"/>
      <c r="P31" s="55"/>
      <c r="Q31" s="56"/>
      <c r="R31" s="56"/>
      <c r="S31" s="56"/>
      <c r="T31" s="221"/>
      <c r="U31" s="227"/>
      <c r="V31" s="227"/>
      <c r="W31" s="227"/>
      <c r="X31" s="149"/>
      <c r="Y31" s="56"/>
      <c r="Z31" s="56"/>
      <c r="AA31" s="57"/>
    </row>
    <row r="32" spans="1:27" s="14" customFormat="1" ht="20.100000000000001" customHeight="1" x14ac:dyDescent="0.15">
      <c r="A32" s="339"/>
      <c r="B32" s="330" t="s">
        <v>50</v>
      </c>
      <c r="C32" s="155" t="s">
        <v>33</v>
      </c>
      <c r="D32" s="53">
        <v>2</v>
      </c>
      <c r="E32" s="54">
        <f t="shared" si="1"/>
        <v>14</v>
      </c>
      <c r="F32" s="54">
        <f t="shared" si="2"/>
        <v>14</v>
      </c>
      <c r="G32" s="54">
        <f t="shared" si="3"/>
        <v>6</v>
      </c>
      <c r="H32" s="55"/>
      <c r="I32" s="56"/>
      <c r="J32" s="56"/>
      <c r="K32" s="56"/>
      <c r="L32" s="55">
        <v>44333</v>
      </c>
      <c r="M32" s="56">
        <v>6</v>
      </c>
      <c r="N32" s="56">
        <v>6</v>
      </c>
      <c r="O32" s="56">
        <v>1</v>
      </c>
      <c r="P32" s="55"/>
      <c r="Q32" s="56"/>
      <c r="R32" s="56"/>
      <c r="S32" s="56"/>
      <c r="T32" s="221">
        <v>44517</v>
      </c>
      <c r="U32" s="227">
        <v>8</v>
      </c>
      <c r="V32" s="227">
        <v>8</v>
      </c>
      <c r="W32" s="227">
        <v>5</v>
      </c>
      <c r="X32" s="149"/>
      <c r="Y32" s="56"/>
      <c r="Z32" s="56"/>
      <c r="AA32" s="57"/>
    </row>
    <row r="33" spans="1:27" s="14" customFormat="1" ht="20.100000000000001" customHeight="1" x14ac:dyDescent="0.15">
      <c r="A33" s="339"/>
      <c r="B33" s="330"/>
      <c r="C33" s="155" t="s">
        <v>207</v>
      </c>
      <c r="D33" s="53"/>
      <c r="E33" s="54">
        <f t="shared" si="1"/>
        <v>0</v>
      </c>
      <c r="F33" s="54">
        <f t="shared" si="2"/>
        <v>0</v>
      </c>
      <c r="G33" s="54">
        <f t="shared" si="3"/>
        <v>0</v>
      </c>
      <c r="H33" s="55"/>
      <c r="I33" s="56"/>
      <c r="J33" s="56"/>
      <c r="K33" s="56"/>
      <c r="L33" s="55"/>
      <c r="M33" s="56"/>
      <c r="N33" s="56"/>
      <c r="O33" s="56"/>
      <c r="P33" s="55"/>
      <c r="Q33" s="56"/>
      <c r="R33" s="56"/>
      <c r="S33" s="56"/>
      <c r="T33" s="221"/>
      <c r="U33" s="227"/>
      <c r="V33" s="227"/>
      <c r="W33" s="227"/>
      <c r="X33" s="149"/>
      <c r="Y33" s="56"/>
      <c r="Z33" s="56"/>
      <c r="AA33" s="57"/>
    </row>
    <row r="34" spans="1:27" s="14" customFormat="1" ht="20.100000000000001" customHeight="1" x14ac:dyDescent="0.15">
      <c r="A34" s="339"/>
      <c r="B34" s="330"/>
      <c r="C34" s="155" t="s">
        <v>196</v>
      </c>
      <c r="D34" s="53"/>
      <c r="E34" s="54">
        <f t="shared" si="1"/>
        <v>0</v>
      </c>
      <c r="F34" s="54">
        <f t="shared" si="2"/>
        <v>0</v>
      </c>
      <c r="G34" s="54">
        <f t="shared" si="3"/>
        <v>0</v>
      </c>
      <c r="H34" s="55"/>
      <c r="I34" s="56"/>
      <c r="J34" s="56"/>
      <c r="K34" s="56"/>
      <c r="L34" s="55"/>
      <c r="M34" s="56"/>
      <c r="N34" s="56"/>
      <c r="O34" s="56"/>
      <c r="P34" s="55"/>
      <c r="Q34" s="56"/>
      <c r="R34" s="56"/>
      <c r="S34" s="56"/>
      <c r="T34" s="221"/>
      <c r="U34" s="227"/>
      <c r="V34" s="227"/>
      <c r="W34" s="227"/>
      <c r="X34" s="149"/>
      <c r="Y34" s="56"/>
      <c r="Z34" s="56"/>
      <c r="AA34" s="57"/>
    </row>
    <row r="35" spans="1:27" s="14" customFormat="1" ht="20.100000000000001" customHeight="1" x14ac:dyDescent="0.15">
      <c r="A35" s="339"/>
      <c r="B35" s="155" t="s">
        <v>18</v>
      </c>
      <c r="C35" s="155" t="s">
        <v>124</v>
      </c>
      <c r="D35" s="53"/>
      <c r="E35" s="54">
        <f t="shared" si="1"/>
        <v>0</v>
      </c>
      <c r="F35" s="54">
        <f t="shared" si="2"/>
        <v>0</v>
      </c>
      <c r="G35" s="54">
        <f t="shared" si="3"/>
        <v>0</v>
      </c>
      <c r="H35" s="55"/>
      <c r="I35" s="56"/>
      <c r="J35" s="56"/>
      <c r="K35" s="56"/>
      <c r="L35" s="55"/>
      <c r="M35" s="56"/>
      <c r="N35" s="56"/>
      <c r="O35" s="56"/>
      <c r="P35" s="55"/>
      <c r="Q35" s="56"/>
      <c r="R35" s="56"/>
      <c r="S35" s="56"/>
      <c r="T35" s="221"/>
      <c r="U35" s="227"/>
      <c r="V35" s="227"/>
      <c r="W35" s="227"/>
      <c r="X35" s="149"/>
      <c r="Y35" s="56"/>
      <c r="Z35" s="56"/>
      <c r="AA35" s="57"/>
    </row>
    <row r="36" spans="1:27" s="14" customFormat="1" ht="20.100000000000001" customHeight="1" x14ac:dyDescent="0.15">
      <c r="A36" s="163" t="s">
        <v>3</v>
      </c>
      <c r="B36" s="155" t="s">
        <v>49</v>
      </c>
      <c r="C36" s="155" t="s">
        <v>11</v>
      </c>
      <c r="D36" s="53"/>
      <c r="E36" s="54">
        <f t="shared" si="1"/>
        <v>0</v>
      </c>
      <c r="F36" s="54">
        <f t="shared" si="2"/>
        <v>0</v>
      </c>
      <c r="G36" s="54">
        <f t="shared" si="3"/>
        <v>0</v>
      </c>
      <c r="H36" s="55"/>
      <c r="I36" s="56"/>
      <c r="J36" s="56"/>
      <c r="K36" s="56"/>
      <c r="L36" s="55"/>
      <c r="M36" s="56"/>
      <c r="N36" s="56"/>
      <c r="O36" s="56"/>
      <c r="P36" s="55"/>
      <c r="Q36" s="56"/>
      <c r="R36" s="56"/>
      <c r="S36" s="56"/>
      <c r="T36" s="221"/>
      <c r="U36" s="227"/>
      <c r="V36" s="227"/>
      <c r="W36" s="227"/>
      <c r="X36" s="149"/>
      <c r="Y36" s="56"/>
      <c r="Z36" s="56"/>
      <c r="AA36" s="57"/>
    </row>
    <row r="37" spans="1:27" s="14" customFormat="1" ht="20.100000000000001" customHeight="1" x14ac:dyDescent="0.15">
      <c r="A37" s="339" t="s">
        <v>84</v>
      </c>
      <c r="B37" s="155" t="s">
        <v>123</v>
      </c>
      <c r="C37" s="155" t="s">
        <v>132</v>
      </c>
      <c r="D37" s="53">
        <v>2</v>
      </c>
      <c r="E37" s="54">
        <f t="shared" si="1"/>
        <v>12</v>
      </c>
      <c r="F37" s="54">
        <f t="shared" si="2"/>
        <v>12</v>
      </c>
      <c r="G37" s="54">
        <f t="shared" si="3"/>
        <v>4</v>
      </c>
      <c r="H37" s="55">
        <v>44284</v>
      </c>
      <c r="I37" s="56">
        <v>7</v>
      </c>
      <c r="J37" s="56">
        <v>7</v>
      </c>
      <c r="K37" s="56">
        <v>4</v>
      </c>
      <c r="L37" s="55"/>
      <c r="M37" s="56"/>
      <c r="N37" s="56"/>
      <c r="O37" s="56"/>
      <c r="P37" s="55"/>
      <c r="Q37" s="56"/>
      <c r="R37" s="56"/>
      <c r="S37" s="56"/>
      <c r="T37" s="221">
        <v>44524</v>
      </c>
      <c r="U37" s="227">
        <v>5</v>
      </c>
      <c r="V37" s="227">
        <v>5</v>
      </c>
      <c r="W37" s="227">
        <v>0</v>
      </c>
      <c r="X37" s="149"/>
      <c r="Y37" s="56"/>
      <c r="Z37" s="56"/>
      <c r="AA37" s="57"/>
    </row>
    <row r="38" spans="1:27" s="14" customFormat="1" ht="20.100000000000001" customHeight="1" x14ac:dyDescent="0.15">
      <c r="A38" s="339"/>
      <c r="B38" s="155" t="s">
        <v>18</v>
      </c>
      <c r="C38" s="155" t="s">
        <v>216</v>
      </c>
      <c r="D38" s="53">
        <v>4</v>
      </c>
      <c r="E38" s="54">
        <f t="shared" si="1"/>
        <v>31</v>
      </c>
      <c r="F38" s="54">
        <f t="shared" si="2"/>
        <v>31</v>
      </c>
      <c r="G38" s="54">
        <f t="shared" si="3"/>
        <v>4</v>
      </c>
      <c r="H38" s="55">
        <v>44284</v>
      </c>
      <c r="I38" s="56">
        <v>14</v>
      </c>
      <c r="J38" s="56">
        <v>14</v>
      </c>
      <c r="K38" s="56">
        <v>0</v>
      </c>
      <c r="L38" s="55">
        <v>44358</v>
      </c>
      <c r="M38" s="56">
        <v>7</v>
      </c>
      <c r="N38" s="56">
        <v>7</v>
      </c>
      <c r="O38" s="56">
        <v>1</v>
      </c>
      <c r="P38" s="55">
        <v>44476</v>
      </c>
      <c r="Q38" s="56">
        <v>3</v>
      </c>
      <c r="R38" s="56">
        <v>3</v>
      </c>
      <c r="S38" s="56">
        <v>0</v>
      </c>
      <c r="T38" s="221">
        <v>44524</v>
      </c>
      <c r="U38" s="227">
        <v>7</v>
      </c>
      <c r="V38" s="227">
        <v>7</v>
      </c>
      <c r="W38" s="227">
        <v>3</v>
      </c>
      <c r="X38" s="149"/>
      <c r="Y38" s="56"/>
      <c r="Z38" s="56"/>
      <c r="AA38" s="57"/>
    </row>
    <row r="39" spans="1:27" s="14" customFormat="1" ht="20.100000000000001" customHeight="1" x14ac:dyDescent="0.15">
      <c r="A39" s="339" t="s">
        <v>107</v>
      </c>
      <c r="B39" s="330" t="s">
        <v>152</v>
      </c>
      <c r="C39" s="155" t="s">
        <v>221</v>
      </c>
      <c r="D39" s="53"/>
      <c r="E39" s="54">
        <f t="shared" si="1"/>
        <v>0</v>
      </c>
      <c r="F39" s="54">
        <f t="shared" si="2"/>
        <v>0</v>
      </c>
      <c r="G39" s="54">
        <f t="shared" si="3"/>
        <v>0</v>
      </c>
      <c r="H39" s="55"/>
      <c r="I39" s="56"/>
      <c r="J39" s="56"/>
      <c r="K39" s="56"/>
      <c r="L39" s="55"/>
      <c r="M39" s="56"/>
      <c r="N39" s="56"/>
      <c r="O39" s="56"/>
      <c r="P39" s="55"/>
      <c r="Q39" s="56"/>
      <c r="R39" s="56"/>
      <c r="S39" s="56"/>
      <c r="T39" s="221"/>
      <c r="U39" s="227"/>
      <c r="V39" s="227"/>
      <c r="W39" s="227"/>
      <c r="X39" s="149"/>
      <c r="Y39" s="56"/>
      <c r="Z39" s="56"/>
      <c r="AA39" s="57"/>
    </row>
    <row r="40" spans="1:27" s="14" customFormat="1" ht="20.100000000000001" customHeight="1" x14ac:dyDescent="0.15">
      <c r="A40" s="339"/>
      <c r="B40" s="330"/>
      <c r="C40" s="155" t="s">
        <v>231</v>
      </c>
      <c r="D40" s="53">
        <v>2</v>
      </c>
      <c r="E40" s="54">
        <f t="shared" si="1"/>
        <v>19</v>
      </c>
      <c r="F40" s="54">
        <f t="shared" si="2"/>
        <v>19</v>
      </c>
      <c r="G40" s="54">
        <f t="shared" si="3"/>
        <v>2</v>
      </c>
      <c r="H40" s="55"/>
      <c r="I40" s="56"/>
      <c r="J40" s="56"/>
      <c r="K40" s="56"/>
      <c r="L40" s="55">
        <v>44355</v>
      </c>
      <c r="M40" s="56">
        <v>8</v>
      </c>
      <c r="N40" s="56">
        <v>8</v>
      </c>
      <c r="O40" s="56">
        <v>0</v>
      </c>
      <c r="P40" s="55"/>
      <c r="Q40" s="56"/>
      <c r="R40" s="56"/>
      <c r="S40" s="56"/>
      <c r="T40" s="221">
        <v>44504</v>
      </c>
      <c r="U40" s="227">
        <v>11</v>
      </c>
      <c r="V40" s="227">
        <v>11</v>
      </c>
      <c r="W40" s="227">
        <v>2</v>
      </c>
      <c r="X40" s="149"/>
      <c r="Y40" s="56"/>
      <c r="Z40" s="56"/>
      <c r="AA40" s="57"/>
    </row>
    <row r="41" spans="1:27" s="14" customFormat="1" ht="20.100000000000001" customHeight="1" x14ac:dyDescent="0.15">
      <c r="A41" s="339"/>
      <c r="B41" s="330"/>
      <c r="C41" s="155" t="s">
        <v>150</v>
      </c>
      <c r="D41" s="53"/>
      <c r="E41" s="54">
        <f t="shared" si="1"/>
        <v>0</v>
      </c>
      <c r="F41" s="54">
        <f t="shared" si="2"/>
        <v>0</v>
      </c>
      <c r="G41" s="54">
        <f t="shared" si="3"/>
        <v>0</v>
      </c>
      <c r="H41" s="55"/>
      <c r="I41" s="56"/>
      <c r="J41" s="56"/>
      <c r="K41" s="56"/>
      <c r="L41" s="55"/>
      <c r="M41" s="56"/>
      <c r="N41" s="56"/>
      <c r="O41" s="56"/>
      <c r="P41" s="55"/>
      <c r="Q41" s="56"/>
      <c r="R41" s="56"/>
      <c r="S41" s="56"/>
      <c r="T41" s="221"/>
      <c r="U41" s="227"/>
      <c r="V41" s="227"/>
      <c r="W41" s="227"/>
      <c r="X41" s="149"/>
      <c r="Y41" s="56"/>
      <c r="Z41" s="56"/>
      <c r="AA41" s="57"/>
    </row>
    <row r="42" spans="1:27" s="14" customFormat="1" ht="20.100000000000001" customHeight="1" x14ac:dyDescent="0.15">
      <c r="A42" s="339"/>
      <c r="B42" s="330"/>
      <c r="C42" s="155" t="s">
        <v>144</v>
      </c>
      <c r="D42" s="53"/>
      <c r="E42" s="54">
        <f t="shared" si="1"/>
        <v>0</v>
      </c>
      <c r="F42" s="54">
        <f t="shared" si="2"/>
        <v>0</v>
      </c>
      <c r="G42" s="54">
        <f t="shared" si="3"/>
        <v>0</v>
      </c>
      <c r="H42" s="55"/>
      <c r="I42" s="56"/>
      <c r="J42" s="56"/>
      <c r="K42" s="56"/>
      <c r="L42" s="55"/>
      <c r="M42" s="56"/>
      <c r="N42" s="56"/>
      <c r="O42" s="56"/>
      <c r="P42" s="55"/>
      <c r="Q42" s="56"/>
      <c r="R42" s="56"/>
      <c r="S42" s="56"/>
      <c r="T42" s="221"/>
      <c r="U42" s="227"/>
      <c r="V42" s="227"/>
      <c r="W42" s="227"/>
      <c r="X42" s="149"/>
      <c r="Y42" s="56"/>
      <c r="Z42" s="56"/>
      <c r="AA42" s="57"/>
    </row>
    <row r="43" spans="1:27" s="14" customFormat="1" ht="20.100000000000001" customHeight="1" x14ac:dyDescent="0.15">
      <c r="A43" s="339" t="s">
        <v>84</v>
      </c>
      <c r="B43" s="347" t="s">
        <v>183</v>
      </c>
      <c r="C43" s="155" t="s">
        <v>14</v>
      </c>
      <c r="D43" s="53">
        <v>1</v>
      </c>
      <c r="E43" s="54">
        <f t="shared" si="1"/>
        <v>7</v>
      </c>
      <c r="F43" s="54">
        <f t="shared" si="2"/>
        <v>7</v>
      </c>
      <c r="G43" s="54">
        <f t="shared" si="3"/>
        <v>0</v>
      </c>
      <c r="H43" s="55"/>
      <c r="I43" s="56"/>
      <c r="J43" s="56"/>
      <c r="K43" s="56"/>
      <c r="L43" s="55">
        <v>44369</v>
      </c>
      <c r="M43" s="56">
        <v>7</v>
      </c>
      <c r="N43" s="56">
        <v>7</v>
      </c>
      <c r="O43" s="56">
        <v>0</v>
      </c>
      <c r="P43" s="55"/>
      <c r="Q43" s="56"/>
      <c r="R43" s="56"/>
      <c r="S43" s="56"/>
      <c r="T43" s="221"/>
      <c r="U43" s="227"/>
      <c r="V43" s="227"/>
      <c r="W43" s="227"/>
      <c r="X43" s="149"/>
      <c r="Y43" s="56"/>
      <c r="Z43" s="56"/>
      <c r="AA43" s="57"/>
    </row>
    <row r="44" spans="1:27" s="14" customFormat="1" ht="20.100000000000001" customHeight="1" x14ac:dyDescent="0.15">
      <c r="A44" s="339"/>
      <c r="B44" s="347"/>
      <c r="C44" s="155" t="s">
        <v>12</v>
      </c>
      <c r="D44" s="53"/>
      <c r="E44" s="54">
        <f t="shared" si="1"/>
        <v>0</v>
      </c>
      <c r="F44" s="54">
        <f t="shared" si="2"/>
        <v>0</v>
      </c>
      <c r="G44" s="54">
        <f t="shared" si="3"/>
        <v>0</v>
      </c>
      <c r="H44" s="55"/>
      <c r="I44" s="56"/>
      <c r="J44" s="56"/>
      <c r="K44" s="56"/>
      <c r="L44" s="55"/>
      <c r="M44" s="56"/>
      <c r="N44" s="56"/>
      <c r="O44" s="56"/>
      <c r="P44" s="55"/>
      <c r="Q44" s="56"/>
      <c r="R44" s="56"/>
      <c r="S44" s="56"/>
      <c r="T44" s="221"/>
      <c r="U44" s="227"/>
      <c r="V44" s="227"/>
      <c r="W44" s="227"/>
      <c r="X44" s="149"/>
      <c r="Y44" s="56"/>
      <c r="Z44" s="56"/>
      <c r="AA44" s="57"/>
    </row>
    <row r="45" spans="1:27" s="14" customFormat="1" ht="20.100000000000001" customHeight="1" x14ac:dyDescent="0.15">
      <c r="A45" s="339" t="s">
        <v>71</v>
      </c>
      <c r="B45" s="330" t="s">
        <v>30</v>
      </c>
      <c r="C45" s="155" t="s">
        <v>136</v>
      </c>
      <c r="D45" s="53"/>
      <c r="E45" s="54">
        <f t="shared" si="1"/>
        <v>0</v>
      </c>
      <c r="F45" s="54">
        <f t="shared" si="2"/>
        <v>0</v>
      </c>
      <c r="G45" s="54">
        <f t="shared" si="3"/>
        <v>0</v>
      </c>
      <c r="H45" s="55"/>
      <c r="I45" s="56"/>
      <c r="J45" s="56"/>
      <c r="K45" s="56"/>
      <c r="L45" s="55"/>
      <c r="M45" s="56"/>
      <c r="N45" s="56"/>
      <c r="O45" s="56"/>
      <c r="P45" s="55"/>
      <c r="Q45" s="56"/>
      <c r="R45" s="56"/>
      <c r="S45" s="56"/>
      <c r="T45" s="221"/>
      <c r="U45" s="227"/>
      <c r="V45" s="227"/>
      <c r="W45" s="227"/>
      <c r="X45" s="149"/>
      <c r="Y45" s="56"/>
      <c r="Z45" s="56"/>
      <c r="AA45" s="57"/>
    </row>
    <row r="46" spans="1:27" s="14" customFormat="1" ht="20.100000000000001" customHeight="1" x14ac:dyDescent="0.15">
      <c r="A46" s="339"/>
      <c r="B46" s="330"/>
      <c r="C46" s="155" t="s">
        <v>133</v>
      </c>
      <c r="D46" s="53"/>
      <c r="E46" s="54">
        <f t="shared" si="1"/>
        <v>0</v>
      </c>
      <c r="F46" s="54">
        <f t="shared" si="2"/>
        <v>0</v>
      </c>
      <c r="G46" s="54">
        <f t="shared" si="3"/>
        <v>0</v>
      </c>
      <c r="H46" s="55"/>
      <c r="I46" s="56"/>
      <c r="J46" s="56"/>
      <c r="K46" s="56"/>
      <c r="L46" s="55"/>
      <c r="M46" s="56"/>
      <c r="N46" s="56"/>
      <c r="O46" s="56"/>
      <c r="P46" s="55"/>
      <c r="Q46" s="56"/>
      <c r="R46" s="56"/>
      <c r="S46" s="56"/>
      <c r="T46" s="221"/>
      <c r="U46" s="227"/>
      <c r="V46" s="227"/>
      <c r="W46" s="227"/>
      <c r="X46" s="149"/>
      <c r="Y46" s="56"/>
      <c r="Z46" s="56"/>
      <c r="AA46" s="57"/>
    </row>
    <row r="47" spans="1:27" s="14" customFormat="1" ht="20.100000000000001" customHeight="1" x14ac:dyDescent="0.15">
      <c r="A47" s="339"/>
      <c r="B47" s="330"/>
      <c r="C47" s="155" t="s">
        <v>135</v>
      </c>
      <c r="D47" s="53"/>
      <c r="E47" s="54">
        <f t="shared" si="1"/>
        <v>0</v>
      </c>
      <c r="F47" s="54">
        <f t="shared" si="2"/>
        <v>0</v>
      </c>
      <c r="G47" s="54">
        <f t="shared" si="3"/>
        <v>0</v>
      </c>
      <c r="H47" s="55"/>
      <c r="I47" s="56"/>
      <c r="J47" s="56"/>
      <c r="K47" s="56"/>
      <c r="L47" s="55"/>
      <c r="M47" s="56"/>
      <c r="N47" s="56"/>
      <c r="O47" s="56"/>
      <c r="P47" s="55"/>
      <c r="Q47" s="56"/>
      <c r="R47" s="56"/>
      <c r="S47" s="56"/>
      <c r="T47" s="221"/>
      <c r="U47" s="227"/>
      <c r="V47" s="227"/>
      <c r="W47" s="227"/>
      <c r="X47" s="149"/>
      <c r="Y47" s="56"/>
      <c r="Z47" s="56"/>
      <c r="AA47" s="57"/>
    </row>
    <row r="48" spans="1:27" s="14" customFormat="1" ht="20.100000000000001" customHeight="1" x14ac:dyDescent="0.15">
      <c r="A48" s="339" t="s">
        <v>71</v>
      </c>
      <c r="B48" s="330" t="s">
        <v>30</v>
      </c>
      <c r="C48" s="155" t="s">
        <v>204</v>
      </c>
      <c r="D48" s="53"/>
      <c r="E48" s="54">
        <f t="shared" si="1"/>
        <v>0</v>
      </c>
      <c r="F48" s="54">
        <f t="shared" si="2"/>
        <v>0</v>
      </c>
      <c r="G48" s="54">
        <f t="shared" si="3"/>
        <v>0</v>
      </c>
      <c r="H48" s="55"/>
      <c r="I48" s="56"/>
      <c r="J48" s="56"/>
      <c r="K48" s="56"/>
      <c r="L48" s="55"/>
      <c r="M48" s="56"/>
      <c r="N48" s="56"/>
      <c r="O48" s="56"/>
      <c r="P48" s="55"/>
      <c r="Q48" s="56"/>
      <c r="R48" s="56"/>
      <c r="S48" s="56"/>
      <c r="T48" s="221"/>
      <c r="U48" s="227"/>
      <c r="V48" s="227"/>
      <c r="W48" s="227"/>
      <c r="X48" s="149"/>
      <c r="Y48" s="56"/>
      <c r="Z48" s="56"/>
      <c r="AA48" s="57"/>
    </row>
    <row r="49" spans="1:27" s="14" customFormat="1" ht="20.100000000000001" customHeight="1" x14ac:dyDescent="0.15">
      <c r="A49" s="339"/>
      <c r="B49" s="330"/>
      <c r="C49" s="155" t="s">
        <v>100</v>
      </c>
      <c r="D49" s="53">
        <v>3</v>
      </c>
      <c r="E49" s="54">
        <f t="shared" si="1"/>
        <v>41</v>
      </c>
      <c r="F49" s="54">
        <f t="shared" si="2"/>
        <v>41</v>
      </c>
      <c r="G49" s="54">
        <f t="shared" si="3"/>
        <v>15</v>
      </c>
      <c r="H49" s="55"/>
      <c r="I49" s="56"/>
      <c r="J49" s="56"/>
      <c r="K49" s="56"/>
      <c r="L49" s="55">
        <v>44322</v>
      </c>
      <c r="M49" s="56">
        <v>2</v>
      </c>
      <c r="N49" s="56">
        <v>2</v>
      </c>
      <c r="O49" s="56">
        <v>0</v>
      </c>
      <c r="P49" s="55">
        <v>44488</v>
      </c>
      <c r="Q49" s="56">
        <v>19</v>
      </c>
      <c r="R49" s="56">
        <v>19</v>
      </c>
      <c r="S49" s="56">
        <v>4</v>
      </c>
      <c r="T49" s="221"/>
      <c r="U49" s="227"/>
      <c r="V49" s="227"/>
      <c r="W49" s="227"/>
      <c r="X49" s="149">
        <v>44532</v>
      </c>
      <c r="Y49" s="56">
        <v>20</v>
      </c>
      <c r="Z49" s="56">
        <v>20</v>
      </c>
      <c r="AA49" s="57">
        <v>11</v>
      </c>
    </row>
    <row r="50" spans="1:27" s="14" customFormat="1" ht="20.100000000000001" customHeight="1" x14ac:dyDescent="0.15">
      <c r="A50" s="339"/>
      <c r="B50" s="330"/>
      <c r="C50" s="155" t="s">
        <v>80</v>
      </c>
      <c r="D50" s="53">
        <v>1</v>
      </c>
      <c r="E50" s="54">
        <f t="shared" si="1"/>
        <v>7</v>
      </c>
      <c r="F50" s="54">
        <f t="shared" si="2"/>
        <v>7</v>
      </c>
      <c r="G50" s="54">
        <f t="shared" si="3"/>
        <v>0</v>
      </c>
      <c r="H50" s="55"/>
      <c r="I50" s="56"/>
      <c r="J50" s="56"/>
      <c r="K50" s="56"/>
      <c r="L50" s="55"/>
      <c r="M50" s="56"/>
      <c r="N50" s="56"/>
      <c r="O50" s="56"/>
      <c r="P50" s="55"/>
      <c r="Q50" s="56"/>
      <c r="R50" s="56"/>
      <c r="S50" s="56"/>
      <c r="T50" s="221">
        <v>44518</v>
      </c>
      <c r="U50" s="227">
        <v>7</v>
      </c>
      <c r="V50" s="227">
        <v>7</v>
      </c>
      <c r="W50" s="227">
        <v>0</v>
      </c>
      <c r="X50" s="149"/>
      <c r="Y50" s="56"/>
      <c r="Z50" s="56"/>
      <c r="AA50" s="57"/>
    </row>
    <row r="51" spans="1:27" s="14" customFormat="1" ht="20.100000000000001" customHeight="1" x14ac:dyDescent="0.15">
      <c r="A51" s="339"/>
      <c r="B51" s="330"/>
      <c r="C51" s="155" t="s">
        <v>68</v>
      </c>
      <c r="D51" s="53"/>
      <c r="E51" s="54">
        <f t="shared" si="1"/>
        <v>0</v>
      </c>
      <c r="F51" s="54">
        <f t="shared" si="2"/>
        <v>0</v>
      </c>
      <c r="G51" s="54">
        <f t="shared" si="3"/>
        <v>0</v>
      </c>
      <c r="H51" s="55"/>
      <c r="I51" s="56"/>
      <c r="J51" s="56"/>
      <c r="K51" s="56"/>
      <c r="L51" s="55"/>
      <c r="M51" s="56"/>
      <c r="N51" s="56"/>
      <c r="O51" s="56"/>
      <c r="P51" s="55"/>
      <c r="Q51" s="56"/>
      <c r="R51" s="56"/>
      <c r="S51" s="56"/>
      <c r="T51" s="221"/>
      <c r="U51" s="227"/>
      <c r="V51" s="227"/>
      <c r="W51" s="227"/>
      <c r="X51" s="149"/>
      <c r="Y51" s="56"/>
      <c r="Z51" s="56"/>
      <c r="AA51" s="57"/>
    </row>
    <row r="52" spans="1:27" s="14" customFormat="1" ht="20.100000000000001" customHeight="1" x14ac:dyDescent="0.15">
      <c r="A52" s="339"/>
      <c r="B52" s="330"/>
      <c r="C52" s="155" t="s">
        <v>74</v>
      </c>
      <c r="D52" s="53">
        <v>1</v>
      </c>
      <c r="E52" s="54">
        <f t="shared" si="1"/>
        <v>7</v>
      </c>
      <c r="F52" s="54">
        <f t="shared" si="2"/>
        <v>7</v>
      </c>
      <c r="G52" s="54">
        <f t="shared" si="3"/>
        <v>0</v>
      </c>
      <c r="H52" s="55"/>
      <c r="I52" s="56"/>
      <c r="J52" s="56"/>
      <c r="K52" s="56"/>
      <c r="L52" s="55"/>
      <c r="M52" s="56"/>
      <c r="N52" s="56"/>
      <c r="O52" s="56"/>
      <c r="P52" s="55"/>
      <c r="Q52" s="56"/>
      <c r="R52" s="56"/>
      <c r="S52" s="56"/>
      <c r="T52" s="221">
        <v>44515</v>
      </c>
      <c r="U52" s="227">
        <v>7</v>
      </c>
      <c r="V52" s="227">
        <v>7</v>
      </c>
      <c r="W52" s="227">
        <v>0</v>
      </c>
      <c r="X52" s="149"/>
      <c r="Y52" s="56"/>
      <c r="Z52" s="56"/>
      <c r="AA52" s="57"/>
    </row>
    <row r="53" spans="1:27" s="14" customFormat="1" ht="20.100000000000001" customHeight="1" x14ac:dyDescent="0.15">
      <c r="A53" s="339"/>
      <c r="B53" s="330"/>
      <c r="C53" s="155" t="s">
        <v>69</v>
      </c>
      <c r="D53" s="53"/>
      <c r="E53" s="54">
        <f t="shared" si="1"/>
        <v>0</v>
      </c>
      <c r="F53" s="54">
        <f t="shared" si="2"/>
        <v>0</v>
      </c>
      <c r="G53" s="54">
        <f t="shared" si="3"/>
        <v>0</v>
      </c>
      <c r="H53" s="55"/>
      <c r="I53" s="56"/>
      <c r="J53" s="56"/>
      <c r="K53" s="56"/>
      <c r="L53" s="55"/>
      <c r="M53" s="56"/>
      <c r="N53" s="56"/>
      <c r="O53" s="56"/>
      <c r="P53" s="55"/>
      <c r="Q53" s="56"/>
      <c r="R53" s="56"/>
      <c r="S53" s="56"/>
      <c r="T53" s="221"/>
      <c r="U53" s="227"/>
      <c r="V53" s="227"/>
      <c r="W53" s="227"/>
      <c r="X53" s="149"/>
      <c r="Y53" s="56"/>
      <c r="Z53" s="56"/>
      <c r="AA53" s="57"/>
    </row>
    <row r="54" spans="1:27" s="14" customFormat="1" ht="20.100000000000001" customHeight="1" x14ac:dyDescent="0.15">
      <c r="A54" s="339"/>
      <c r="B54" s="330"/>
      <c r="C54" s="155" t="s">
        <v>117</v>
      </c>
      <c r="D54" s="53"/>
      <c r="E54" s="54">
        <f t="shared" si="1"/>
        <v>0</v>
      </c>
      <c r="F54" s="54">
        <f t="shared" si="2"/>
        <v>0</v>
      </c>
      <c r="G54" s="54">
        <f t="shared" si="3"/>
        <v>0</v>
      </c>
      <c r="H54" s="55"/>
      <c r="I54" s="56"/>
      <c r="J54" s="56"/>
      <c r="K54" s="56"/>
      <c r="L54" s="55"/>
      <c r="M54" s="56"/>
      <c r="N54" s="56"/>
      <c r="O54" s="56"/>
      <c r="P54" s="55"/>
      <c r="Q54" s="56"/>
      <c r="R54" s="56"/>
      <c r="S54" s="56"/>
      <c r="T54" s="221"/>
      <c r="U54" s="227"/>
      <c r="V54" s="227"/>
      <c r="W54" s="227"/>
      <c r="X54" s="149"/>
      <c r="Y54" s="56"/>
      <c r="Z54" s="56"/>
      <c r="AA54" s="57"/>
    </row>
    <row r="55" spans="1:27" s="14" customFormat="1" ht="20.100000000000001" customHeight="1" x14ac:dyDescent="0.15">
      <c r="A55" s="339"/>
      <c r="B55" s="330"/>
      <c r="C55" s="155" t="s">
        <v>62</v>
      </c>
      <c r="D55" s="53">
        <v>2</v>
      </c>
      <c r="E55" s="54">
        <f t="shared" si="1"/>
        <v>9</v>
      </c>
      <c r="F55" s="54">
        <f t="shared" si="2"/>
        <v>9</v>
      </c>
      <c r="G55" s="54">
        <f t="shared" si="3"/>
        <v>1</v>
      </c>
      <c r="H55" s="55"/>
      <c r="I55" s="56"/>
      <c r="J55" s="56"/>
      <c r="K55" s="56"/>
      <c r="L55" s="55">
        <v>44350</v>
      </c>
      <c r="M55" s="56">
        <v>9</v>
      </c>
      <c r="N55" s="56">
        <v>9</v>
      </c>
      <c r="O55" s="56">
        <v>1</v>
      </c>
      <c r="P55" s="55"/>
      <c r="Q55" s="56"/>
      <c r="R55" s="56"/>
      <c r="S55" s="56"/>
      <c r="T55" s="221"/>
      <c r="U55" s="227"/>
      <c r="V55" s="227"/>
      <c r="W55" s="227"/>
      <c r="X55" s="149"/>
      <c r="Y55" s="56"/>
      <c r="Z55" s="56"/>
      <c r="AA55" s="57"/>
    </row>
    <row r="56" spans="1:27" s="14" customFormat="1" ht="20.100000000000001" customHeight="1" x14ac:dyDescent="0.15">
      <c r="A56" s="339"/>
      <c r="B56" s="330"/>
      <c r="C56" s="155" t="s">
        <v>25</v>
      </c>
      <c r="D56" s="53"/>
      <c r="E56" s="54">
        <f t="shared" si="1"/>
        <v>0</v>
      </c>
      <c r="F56" s="54">
        <f t="shared" si="2"/>
        <v>0</v>
      </c>
      <c r="G56" s="54">
        <f t="shared" si="3"/>
        <v>0</v>
      </c>
      <c r="H56" s="55"/>
      <c r="I56" s="56"/>
      <c r="J56" s="56"/>
      <c r="K56" s="56"/>
      <c r="L56" s="55"/>
      <c r="M56" s="56"/>
      <c r="N56" s="56"/>
      <c r="O56" s="56"/>
      <c r="P56" s="55"/>
      <c r="Q56" s="56"/>
      <c r="R56" s="56"/>
      <c r="S56" s="56"/>
      <c r="T56" s="221"/>
      <c r="U56" s="227"/>
      <c r="V56" s="227"/>
      <c r="W56" s="227"/>
      <c r="X56" s="149"/>
      <c r="Y56" s="56"/>
      <c r="Z56" s="56"/>
      <c r="AA56" s="57"/>
    </row>
    <row r="57" spans="1:27" s="14" customFormat="1" ht="20.100000000000001" customHeight="1" x14ac:dyDescent="0.15">
      <c r="A57" s="339"/>
      <c r="B57" s="330"/>
      <c r="C57" s="155" t="s">
        <v>15</v>
      </c>
      <c r="D57" s="53"/>
      <c r="E57" s="54">
        <f t="shared" si="1"/>
        <v>0</v>
      </c>
      <c r="F57" s="54">
        <f t="shared" si="2"/>
        <v>0</v>
      </c>
      <c r="G57" s="54">
        <f t="shared" si="3"/>
        <v>0</v>
      </c>
      <c r="H57" s="55"/>
      <c r="I57" s="56"/>
      <c r="J57" s="56"/>
      <c r="K57" s="56"/>
      <c r="L57" s="55"/>
      <c r="M57" s="56"/>
      <c r="N57" s="56"/>
      <c r="O57" s="56"/>
      <c r="P57" s="55"/>
      <c r="Q57" s="56"/>
      <c r="R57" s="56"/>
      <c r="S57" s="56"/>
      <c r="T57" s="221"/>
      <c r="U57" s="227"/>
      <c r="V57" s="227"/>
      <c r="W57" s="227"/>
      <c r="X57" s="149"/>
      <c r="Y57" s="56"/>
      <c r="Z57" s="56"/>
      <c r="AA57" s="57"/>
    </row>
    <row r="58" spans="1:27" s="14" customFormat="1" ht="20.100000000000001" customHeight="1" x14ac:dyDescent="0.15">
      <c r="A58" s="339"/>
      <c r="B58" s="155" t="s">
        <v>42</v>
      </c>
      <c r="C58" s="155" t="s">
        <v>133</v>
      </c>
      <c r="D58" s="53"/>
      <c r="E58" s="54">
        <f t="shared" si="1"/>
        <v>0</v>
      </c>
      <c r="F58" s="54">
        <f t="shared" si="2"/>
        <v>0</v>
      </c>
      <c r="G58" s="54">
        <f t="shared" si="3"/>
        <v>0</v>
      </c>
      <c r="H58" s="55"/>
      <c r="I58" s="56"/>
      <c r="J58" s="56"/>
      <c r="K58" s="56"/>
      <c r="L58" s="55"/>
      <c r="M58" s="56"/>
      <c r="N58" s="56"/>
      <c r="O58" s="56"/>
      <c r="P58" s="55"/>
      <c r="Q58" s="56"/>
      <c r="R58" s="56"/>
      <c r="S58" s="56"/>
      <c r="T58" s="221"/>
      <c r="U58" s="227"/>
      <c r="V58" s="227"/>
      <c r="W58" s="227"/>
      <c r="X58" s="149"/>
      <c r="Y58" s="56"/>
      <c r="Z58" s="56"/>
      <c r="AA58" s="57"/>
    </row>
    <row r="59" spans="1:27" s="14" customFormat="1" ht="20.100000000000001" customHeight="1" x14ac:dyDescent="0.15">
      <c r="A59" s="339"/>
      <c r="B59" s="155" t="s">
        <v>51</v>
      </c>
      <c r="C59" s="155" t="s">
        <v>82</v>
      </c>
      <c r="D59" s="53"/>
      <c r="E59" s="54">
        <f t="shared" si="1"/>
        <v>0</v>
      </c>
      <c r="F59" s="54">
        <f t="shared" si="2"/>
        <v>0</v>
      </c>
      <c r="G59" s="54">
        <f t="shared" si="3"/>
        <v>0</v>
      </c>
      <c r="H59" s="55"/>
      <c r="I59" s="56"/>
      <c r="J59" s="56"/>
      <c r="K59" s="56"/>
      <c r="L59" s="55"/>
      <c r="M59" s="56"/>
      <c r="N59" s="56"/>
      <c r="O59" s="56"/>
      <c r="P59" s="55"/>
      <c r="Q59" s="56"/>
      <c r="R59" s="56"/>
      <c r="S59" s="56"/>
      <c r="T59" s="221"/>
      <c r="U59" s="227"/>
      <c r="V59" s="227"/>
      <c r="W59" s="227"/>
      <c r="X59" s="149"/>
      <c r="Y59" s="56"/>
      <c r="Z59" s="56"/>
      <c r="AA59" s="57"/>
    </row>
    <row r="60" spans="1:27" s="14" customFormat="1" ht="20.100000000000001" customHeight="1" x14ac:dyDescent="0.15">
      <c r="A60" s="339"/>
      <c r="B60" s="155" t="s">
        <v>125</v>
      </c>
      <c r="C60" s="155" t="s">
        <v>22</v>
      </c>
      <c r="D60" s="53"/>
      <c r="E60" s="54">
        <f t="shared" si="1"/>
        <v>0</v>
      </c>
      <c r="F60" s="54">
        <f t="shared" si="2"/>
        <v>0</v>
      </c>
      <c r="G60" s="54">
        <f t="shared" si="3"/>
        <v>0</v>
      </c>
      <c r="H60" s="55"/>
      <c r="I60" s="56"/>
      <c r="J60" s="56"/>
      <c r="K60" s="56"/>
      <c r="L60" s="55"/>
      <c r="M60" s="56"/>
      <c r="N60" s="56"/>
      <c r="O60" s="56"/>
      <c r="P60" s="55"/>
      <c r="Q60" s="56"/>
      <c r="R60" s="56"/>
      <c r="S60" s="56"/>
      <c r="T60" s="221"/>
      <c r="U60" s="227"/>
      <c r="V60" s="227"/>
      <c r="W60" s="227"/>
      <c r="X60" s="149"/>
      <c r="Y60" s="56"/>
      <c r="Z60" s="56"/>
      <c r="AA60" s="57"/>
    </row>
    <row r="61" spans="1:27" s="14" customFormat="1" ht="20.100000000000001" customHeight="1" x14ac:dyDescent="0.15">
      <c r="A61" s="339"/>
      <c r="B61" s="331" t="s">
        <v>30</v>
      </c>
      <c r="C61" s="155" t="s">
        <v>60</v>
      </c>
      <c r="D61" s="155"/>
      <c r="E61" s="54">
        <f t="shared" si="1"/>
        <v>0</v>
      </c>
      <c r="F61" s="54">
        <f t="shared" si="2"/>
        <v>0</v>
      </c>
      <c r="G61" s="54">
        <f t="shared" si="3"/>
        <v>0</v>
      </c>
      <c r="H61" s="55"/>
      <c r="I61" s="56"/>
      <c r="J61" s="56"/>
      <c r="K61" s="56"/>
      <c r="L61" s="55"/>
      <c r="M61" s="56"/>
      <c r="N61" s="56"/>
      <c r="O61" s="56"/>
      <c r="P61" s="55"/>
      <c r="Q61" s="56"/>
      <c r="R61" s="56"/>
      <c r="S61" s="56"/>
      <c r="T61" s="221"/>
      <c r="U61" s="227"/>
      <c r="V61" s="227"/>
      <c r="W61" s="227"/>
      <c r="X61" s="149"/>
      <c r="Y61" s="56"/>
      <c r="Z61" s="56"/>
      <c r="AA61" s="57"/>
    </row>
    <row r="62" spans="1:27" s="14" customFormat="1" ht="20.100000000000001" customHeight="1" x14ac:dyDescent="0.15">
      <c r="A62" s="339"/>
      <c r="B62" s="348"/>
      <c r="C62" s="155" t="s">
        <v>53</v>
      </c>
      <c r="D62" s="155"/>
      <c r="E62" s="54">
        <f t="shared" si="1"/>
        <v>0</v>
      </c>
      <c r="F62" s="54">
        <f t="shared" si="2"/>
        <v>0</v>
      </c>
      <c r="G62" s="54">
        <f t="shared" si="3"/>
        <v>0</v>
      </c>
      <c r="H62" s="55"/>
      <c r="I62" s="56"/>
      <c r="J62" s="56"/>
      <c r="K62" s="56"/>
      <c r="L62" s="55"/>
      <c r="M62" s="56"/>
      <c r="N62" s="56"/>
      <c r="O62" s="56"/>
      <c r="P62" s="55"/>
      <c r="Q62" s="56"/>
      <c r="R62" s="56"/>
      <c r="S62" s="56"/>
      <c r="T62" s="221"/>
      <c r="U62" s="227"/>
      <c r="V62" s="227"/>
      <c r="W62" s="227"/>
      <c r="X62" s="149"/>
      <c r="Y62" s="56"/>
      <c r="Z62" s="56"/>
      <c r="AA62" s="57"/>
    </row>
    <row r="63" spans="1:27" s="14" customFormat="1" ht="20.100000000000001" customHeight="1" x14ac:dyDescent="0.15">
      <c r="A63" s="339"/>
      <c r="B63" s="348"/>
      <c r="C63" s="155" t="s">
        <v>27</v>
      </c>
      <c r="D63" s="155"/>
      <c r="E63" s="54">
        <f t="shared" si="1"/>
        <v>0</v>
      </c>
      <c r="F63" s="54">
        <f t="shared" si="2"/>
        <v>0</v>
      </c>
      <c r="G63" s="54">
        <f t="shared" si="3"/>
        <v>0</v>
      </c>
      <c r="H63" s="55"/>
      <c r="I63" s="56"/>
      <c r="J63" s="56"/>
      <c r="K63" s="56"/>
      <c r="L63" s="55"/>
      <c r="M63" s="56"/>
      <c r="N63" s="56"/>
      <c r="O63" s="56"/>
      <c r="P63" s="55"/>
      <c r="Q63" s="56"/>
      <c r="R63" s="56"/>
      <c r="S63" s="56"/>
      <c r="T63" s="221"/>
      <c r="U63" s="227"/>
      <c r="V63" s="227"/>
      <c r="W63" s="227"/>
      <c r="X63" s="149"/>
      <c r="Y63" s="56"/>
      <c r="Z63" s="56"/>
      <c r="AA63" s="57"/>
    </row>
    <row r="64" spans="1:27" s="14" customFormat="1" ht="20.100000000000001" customHeight="1" x14ac:dyDescent="0.15">
      <c r="A64" s="339"/>
      <c r="B64" s="348"/>
      <c r="C64" s="155" t="s">
        <v>137</v>
      </c>
      <c r="D64" s="155"/>
      <c r="E64" s="54">
        <f t="shared" si="1"/>
        <v>0</v>
      </c>
      <c r="F64" s="54">
        <f t="shared" si="2"/>
        <v>0</v>
      </c>
      <c r="G64" s="54">
        <f t="shared" si="3"/>
        <v>0</v>
      </c>
      <c r="H64" s="55"/>
      <c r="I64" s="56"/>
      <c r="J64" s="56"/>
      <c r="K64" s="56"/>
      <c r="L64" s="55"/>
      <c r="M64" s="56"/>
      <c r="N64" s="56"/>
      <c r="O64" s="56"/>
      <c r="P64" s="55"/>
      <c r="Q64" s="56"/>
      <c r="R64" s="56"/>
      <c r="S64" s="56"/>
      <c r="T64" s="221"/>
      <c r="U64" s="227"/>
      <c r="V64" s="227"/>
      <c r="W64" s="227"/>
      <c r="X64" s="149"/>
      <c r="Y64" s="56"/>
      <c r="Z64" s="56"/>
      <c r="AA64" s="57"/>
    </row>
    <row r="65" spans="1:27" s="14" customFormat="1" ht="20.100000000000001" customHeight="1" x14ac:dyDescent="0.15">
      <c r="A65" s="339"/>
      <c r="B65" s="348"/>
      <c r="C65" s="155" t="s">
        <v>194</v>
      </c>
      <c r="D65" s="155">
        <v>3</v>
      </c>
      <c r="E65" s="54">
        <f t="shared" si="1"/>
        <v>14</v>
      </c>
      <c r="F65" s="54">
        <f t="shared" si="2"/>
        <v>14</v>
      </c>
      <c r="G65" s="54">
        <f t="shared" si="3"/>
        <v>3</v>
      </c>
      <c r="H65" s="55">
        <v>44287</v>
      </c>
      <c r="I65" s="56">
        <v>9</v>
      </c>
      <c r="J65" s="56">
        <v>9</v>
      </c>
      <c r="K65" s="56">
        <v>3</v>
      </c>
      <c r="L65" s="55">
        <v>44372</v>
      </c>
      <c r="M65" s="56">
        <v>3</v>
      </c>
      <c r="N65" s="56">
        <v>3</v>
      </c>
      <c r="O65" s="56">
        <v>0</v>
      </c>
      <c r="P65" s="55"/>
      <c r="Q65" s="56"/>
      <c r="R65" s="56"/>
      <c r="S65" s="56"/>
      <c r="T65" s="221">
        <v>44546</v>
      </c>
      <c r="U65" s="227">
        <v>2</v>
      </c>
      <c r="V65" s="227">
        <v>2</v>
      </c>
      <c r="W65" s="227">
        <v>0</v>
      </c>
      <c r="X65" s="149"/>
      <c r="Y65" s="56"/>
      <c r="Z65" s="56"/>
      <c r="AA65" s="57"/>
    </row>
    <row r="66" spans="1:27" s="14" customFormat="1" ht="20.100000000000001" customHeight="1" x14ac:dyDescent="0.15">
      <c r="A66" s="339"/>
      <c r="B66" s="348"/>
      <c r="C66" s="155" t="s">
        <v>197</v>
      </c>
      <c r="D66" s="155">
        <v>3</v>
      </c>
      <c r="E66" s="54">
        <f t="shared" si="1"/>
        <v>20</v>
      </c>
      <c r="F66" s="54">
        <f t="shared" si="2"/>
        <v>20</v>
      </c>
      <c r="G66" s="54">
        <f t="shared" si="3"/>
        <v>7</v>
      </c>
      <c r="H66" s="55">
        <v>44286</v>
      </c>
      <c r="I66" s="56">
        <v>15</v>
      </c>
      <c r="J66" s="56">
        <v>15</v>
      </c>
      <c r="K66" s="56">
        <v>7</v>
      </c>
      <c r="L66" s="55"/>
      <c r="M66" s="56"/>
      <c r="N66" s="56"/>
      <c r="O66" s="56"/>
      <c r="P66" s="55">
        <v>44484</v>
      </c>
      <c r="Q66" s="56">
        <v>3</v>
      </c>
      <c r="R66" s="56">
        <v>3</v>
      </c>
      <c r="S66" s="56">
        <v>0</v>
      </c>
      <c r="T66" s="221">
        <v>44525</v>
      </c>
      <c r="U66" s="227">
        <v>2</v>
      </c>
      <c r="V66" s="227">
        <v>2</v>
      </c>
      <c r="W66" s="227">
        <v>0</v>
      </c>
      <c r="X66" s="149"/>
      <c r="Y66" s="56"/>
      <c r="Z66" s="56"/>
      <c r="AA66" s="57"/>
    </row>
    <row r="67" spans="1:27" s="14" customFormat="1" ht="20.100000000000001" customHeight="1" x14ac:dyDescent="0.15">
      <c r="A67" s="339"/>
      <c r="B67" s="348"/>
      <c r="C67" s="155" t="s">
        <v>212</v>
      </c>
      <c r="D67" s="155"/>
      <c r="E67" s="54">
        <f t="shared" si="1"/>
        <v>0</v>
      </c>
      <c r="F67" s="54">
        <f t="shared" si="2"/>
        <v>0</v>
      </c>
      <c r="G67" s="54">
        <f t="shared" si="3"/>
        <v>0</v>
      </c>
      <c r="H67" s="55"/>
      <c r="I67" s="56"/>
      <c r="J67" s="56"/>
      <c r="K67" s="56"/>
      <c r="L67" s="55"/>
      <c r="M67" s="56"/>
      <c r="N67" s="56"/>
      <c r="O67" s="56"/>
      <c r="P67" s="55"/>
      <c r="Q67" s="56"/>
      <c r="R67" s="56"/>
      <c r="S67" s="56"/>
      <c r="T67" s="221"/>
      <c r="U67" s="227"/>
      <c r="V67" s="227"/>
      <c r="W67" s="227"/>
      <c r="X67" s="149"/>
      <c r="Y67" s="56"/>
      <c r="Z67" s="56"/>
      <c r="AA67" s="57"/>
    </row>
    <row r="68" spans="1:27" s="14" customFormat="1" ht="20.100000000000001" customHeight="1" x14ac:dyDescent="0.15">
      <c r="A68" s="339"/>
      <c r="B68" s="348"/>
      <c r="C68" s="155" t="s">
        <v>9</v>
      </c>
      <c r="D68" s="155">
        <v>3</v>
      </c>
      <c r="E68" s="54">
        <f t="shared" si="1"/>
        <v>17</v>
      </c>
      <c r="F68" s="54">
        <f t="shared" si="2"/>
        <v>17</v>
      </c>
      <c r="G68" s="54">
        <f t="shared" si="3"/>
        <v>5</v>
      </c>
      <c r="H68" s="55"/>
      <c r="I68" s="56"/>
      <c r="J68" s="56"/>
      <c r="K68" s="56"/>
      <c r="L68" s="55">
        <v>44361</v>
      </c>
      <c r="M68" s="56">
        <v>12</v>
      </c>
      <c r="N68" s="56">
        <v>12</v>
      </c>
      <c r="O68" s="56">
        <v>5</v>
      </c>
      <c r="P68" s="55">
        <v>44483</v>
      </c>
      <c r="Q68" s="56">
        <v>2</v>
      </c>
      <c r="R68" s="56">
        <v>2</v>
      </c>
      <c r="S68" s="56">
        <v>0</v>
      </c>
      <c r="T68" s="221">
        <v>44526</v>
      </c>
      <c r="U68" s="227">
        <v>3</v>
      </c>
      <c r="V68" s="227">
        <v>3</v>
      </c>
      <c r="W68" s="227">
        <v>0</v>
      </c>
      <c r="X68" s="149"/>
      <c r="Y68" s="56"/>
      <c r="Z68" s="56"/>
      <c r="AA68" s="57"/>
    </row>
    <row r="69" spans="1:27" s="14" customFormat="1" ht="20.100000000000001" customHeight="1" x14ac:dyDescent="0.15">
      <c r="A69" s="339"/>
      <c r="B69" s="349"/>
      <c r="C69" s="155" t="s">
        <v>105</v>
      </c>
      <c r="D69" s="155">
        <v>2</v>
      </c>
      <c r="E69" s="54">
        <f t="shared" si="1"/>
        <v>14</v>
      </c>
      <c r="F69" s="54">
        <f t="shared" si="2"/>
        <v>14</v>
      </c>
      <c r="G69" s="54">
        <f t="shared" si="3"/>
        <v>9</v>
      </c>
      <c r="H69" s="55">
        <v>44285</v>
      </c>
      <c r="I69" s="56">
        <v>9</v>
      </c>
      <c r="J69" s="56">
        <v>9</v>
      </c>
      <c r="K69" s="56">
        <v>5</v>
      </c>
      <c r="L69" s="55">
        <v>44361</v>
      </c>
      <c r="M69" s="56">
        <v>5</v>
      </c>
      <c r="N69" s="56">
        <v>5</v>
      </c>
      <c r="O69" s="56">
        <v>4</v>
      </c>
      <c r="P69" s="55"/>
      <c r="Q69" s="56"/>
      <c r="R69" s="56"/>
      <c r="S69" s="56"/>
      <c r="T69" s="221"/>
      <c r="U69" s="227"/>
      <c r="V69" s="227"/>
      <c r="W69" s="227"/>
      <c r="X69" s="149"/>
      <c r="Y69" s="56"/>
      <c r="Z69" s="56"/>
      <c r="AA69" s="57"/>
    </row>
    <row r="70" spans="1:27" s="14" customFormat="1" ht="20.100000000000001" customHeight="1" x14ac:dyDescent="0.15">
      <c r="A70" s="343" t="s">
        <v>71</v>
      </c>
      <c r="B70" s="331" t="s">
        <v>30</v>
      </c>
      <c r="C70" s="155" t="s">
        <v>58</v>
      </c>
      <c r="D70" s="155"/>
      <c r="E70" s="54">
        <f t="shared" si="1"/>
        <v>0</v>
      </c>
      <c r="F70" s="54">
        <f t="shared" si="2"/>
        <v>0</v>
      </c>
      <c r="G70" s="54">
        <f t="shared" si="3"/>
        <v>0</v>
      </c>
      <c r="H70" s="55"/>
      <c r="I70" s="56"/>
      <c r="J70" s="56"/>
      <c r="K70" s="56"/>
      <c r="L70" s="55"/>
      <c r="M70" s="56"/>
      <c r="N70" s="56"/>
      <c r="O70" s="56"/>
      <c r="P70" s="55"/>
      <c r="Q70" s="56"/>
      <c r="R70" s="56"/>
      <c r="S70" s="56"/>
      <c r="T70" s="221"/>
      <c r="U70" s="227"/>
      <c r="V70" s="227"/>
      <c r="W70" s="227"/>
      <c r="X70" s="149"/>
      <c r="Y70" s="56"/>
      <c r="Z70" s="56"/>
      <c r="AA70" s="57"/>
    </row>
    <row r="71" spans="1:27" s="14" customFormat="1" ht="20.100000000000001" customHeight="1" x14ac:dyDescent="0.15">
      <c r="A71" s="350"/>
      <c r="B71" s="348"/>
      <c r="C71" s="155" t="s">
        <v>115</v>
      </c>
      <c r="D71" s="155">
        <v>2</v>
      </c>
      <c r="E71" s="54">
        <f t="shared" si="1"/>
        <v>10</v>
      </c>
      <c r="F71" s="54">
        <f t="shared" si="2"/>
        <v>10</v>
      </c>
      <c r="G71" s="54">
        <f t="shared" si="3"/>
        <v>3</v>
      </c>
      <c r="H71" s="55"/>
      <c r="I71" s="56"/>
      <c r="J71" s="56"/>
      <c r="K71" s="56"/>
      <c r="L71" s="55">
        <v>44322</v>
      </c>
      <c r="M71" s="56">
        <v>5</v>
      </c>
      <c r="N71" s="56">
        <v>5</v>
      </c>
      <c r="O71" s="56">
        <v>1</v>
      </c>
      <c r="P71" s="55">
        <v>44490</v>
      </c>
      <c r="Q71" s="56">
        <v>5</v>
      </c>
      <c r="R71" s="56">
        <v>5</v>
      </c>
      <c r="S71" s="56">
        <v>2</v>
      </c>
      <c r="T71" s="221"/>
      <c r="U71" s="227"/>
      <c r="V71" s="227"/>
      <c r="W71" s="227"/>
      <c r="X71" s="149"/>
      <c r="Y71" s="56"/>
      <c r="Z71" s="56"/>
      <c r="AA71" s="57"/>
    </row>
    <row r="72" spans="1:27" s="14" customFormat="1" ht="20.100000000000001" customHeight="1" x14ac:dyDescent="0.15">
      <c r="A72" s="350"/>
      <c r="B72" s="348"/>
      <c r="C72" s="155" t="s">
        <v>19</v>
      </c>
      <c r="D72" s="155"/>
      <c r="E72" s="54">
        <f t="shared" ref="E72:E80" si="4">SUM(I72,M72,Q72,U72,Y72)</f>
        <v>0</v>
      </c>
      <c r="F72" s="54">
        <f t="shared" ref="F72:F80" si="5">SUM(J72,N72,R72,V72,Z72)</f>
        <v>0</v>
      </c>
      <c r="G72" s="54">
        <f t="shared" ref="G72:G80" si="6">SUM(K72,O72,S72,W72,AA72)</f>
        <v>0</v>
      </c>
      <c r="H72" s="55"/>
      <c r="I72" s="56"/>
      <c r="J72" s="56"/>
      <c r="K72" s="56"/>
      <c r="L72" s="55"/>
      <c r="M72" s="56"/>
      <c r="N72" s="56"/>
      <c r="O72" s="56"/>
      <c r="P72" s="55"/>
      <c r="Q72" s="56"/>
      <c r="R72" s="56"/>
      <c r="S72" s="56"/>
      <c r="T72" s="221"/>
      <c r="U72" s="227"/>
      <c r="V72" s="227"/>
      <c r="W72" s="227"/>
      <c r="X72" s="149"/>
      <c r="Y72" s="56"/>
      <c r="Z72" s="56"/>
      <c r="AA72" s="57"/>
    </row>
    <row r="73" spans="1:27" s="14" customFormat="1" ht="20.100000000000001" customHeight="1" x14ac:dyDescent="0.15">
      <c r="A73" s="344"/>
      <c r="B73" s="349"/>
      <c r="C73" s="155" t="s">
        <v>31</v>
      </c>
      <c r="D73" s="155">
        <v>1</v>
      </c>
      <c r="E73" s="54">
        <f t="shared" si="4"/>
        <v>3</v>
      </c>
      <c r="F73" s="54">
        <f t="shared" si="5"/>
        <v>3</v>
      </c>
      <c r="G73" s="54">
        <f t="shared" si="6"/>
        <v>0</v>
      </c>
      <c r="H73" s="55">
        <v>44295</v>
      </c>
      <c r="I73" s="56">
        <v>3</v>
      </c>
      <c r="J73" s="56">
        <v>3</v>
      </c>
      <c r="K73" s="56">
        <v>0</v>
      </c>
      <c r="L73" s="55"/>
      <c r="M73" s="56"/>
      <c r="N73" s="56"/>
      <c r="O73" s="56"/>
      <c r="P73" s="55"/>
      <c r="Q73" s="56"/>
      <c r="R73" s="56"/>
      <c r="S73" s="56"/>
      <c r="T73" s="221"/>
      <c r="U73" s="227"/>
      <c r="V73" s="227"/>
      <c r="W73" s="227"/>
      <c r="X73" s="149"/>
      <c r="Y73" s="56"/>
      <c r="Z73" s="56"/>
      <c r="AA73" s="57"/>
    </row>
    <row r="74" spans="1:27" s="14" customFormat="1" ht="20.100000000000001" customHeight="1" x14ac:dyDescent="0.15">
      <c r="A74" s="339" t="s">
        <v>79</v>
      </c>
      <c r="B74" s="330" t="s">
        <v>130</v>
      </c>
      <c r="C74" s="155" t="s">
        <v>140</v>
      </c>
      <c r="D74" s="155"/>
      <c r="E74" s="54">
        <f t="shared" si="4"/>
        <v>0</v>
      </c>
      <c r="F74" s="54">
        <f t="shared" si="5"/>
        <v>0</v>
      </c>
      <c r="G74" s="54">
        <f t="shared" si="6"/>
        <v>0</v>
      </c>
      <c r="H74" s="55"/>
      <c r="I74" s="56"/>
      <c r="J74" s="56"/>
      <c r="K74" s="56"/>
      <c r="L74" s="55"/>
      <c r="M74" s="56"/>
      <c r="N74" s="56"/>
      <c r="O74" s="56"/>
      <c r="P74" s="55"/>
      <c r="Q74" s="56"/>
      <c r="R74" s="56"/>
      <c r="S74" s="56"/>
      <c r="T74" s="221"/>
      <c r="U74" s="227"/>
      <c r="V74" s="227"/>
      <c r="W74" s="227"/>
      <c r="X74" s="149"/>
      <c r="Y74" s="56"/>
      <c r="Z74" s="56"/>
      <c r="AA74" s="57"/>
    </row>
    <row r="75" spans="1:27" s="14" customFormat="1" ht="20.100000000000001" customHeight="1" x14ac:dyDescent="0.15">
      <c r="A75" s="339"/>
      <c r="B75" s="330"/>
      <c r="C75" s="155" t="s">
        <v>148</v>
      </c>
      <c r="D75" s="155">
        <v>2</v>
      </c>
      <c r="E75" s="54">
        <f t="shared" si="4"/>
        <v>6</v>
      </c>
      <c r="F75" s="54">
        <f t="shared" si="5"/>
        <v>6</v>
      </c>
      <c r="G75" s="54">
        <f t="shared" si="6"/>
        <v>1</v>
      </c>
      <c r="H75" s="55"/>
      <c r="I75" s="56"/>
      <c r="J75" s="56"/>
      <c r="K75" s="56"/>
      <c r="L75" s="55">
        <v>44301</v>
      </c>
      <c r="M75" s="56">
        <v>3</v>
      </c>
      <c r="N75" s="56">
        <v>3</v>
      </c>
      <c r="O75" s="56">
        <v>0</v>
      </c>
      <c r="P75" s="55">
        <v>44379</v>
      </c>
      <c r="Q75" s="56">
        <v>3</v>
      </c>
      <c r="R75" s="56">
        <v>3</v>
      </c>
      <c r="S75" s="56">
        <v>1</v>
      </c>
      <c r="T75" s="221"/>
      <c r="U75" s="227"/>
      <c r="V75" s="227"/>
      <c r="W75" s="227"/>
      <c r="X75" s="149"/>
      <c r="Y75" s="56"/>
      <c r="Z75" s="56"/>
      <c r="AA75" s="57"/>
    </row>
    <row r="76" spans="1:27" s="14" customFormat="1" ht="20.100000000000001" customHeight="1" x14ac:dyDescent="0.15">
      <c r="A76" s="339"/>
      <c r="B76" s="330"/>
      <c r="C76" s="155" t="s">
        <v>213</v>
      </c>
      <c r="D76" s="155">
        <v>2</v>
      </c>
      <c r="E76" s="54">
        <f t="shared" si="4"/>
        <v>5</v>
      </c>
      <c r="F76" s="54">
        <f t="shared" si="5"/>
        <v>5</v>
      </c>
      <c r="G76" s="54">
        <f t="shared" si="6"/>
        <v>3</v>
      </c>
      <c r="H76" s="55"/>
      <c r="I76" s="56"/>
      <c r="J76" s="56"/>
      <c r="K76" s="56"/>
      <c r="L76" s="55">
        <v>44309</v>
      </c>
      <c r="M76" s="56">
        <v>5</v>
      </c>
      <c r="N76" s="56">
        <v>5</v>
      </c>
      <c r="O76" s="56">
        <v>3</v>
      </c>
      <c r="P76" s="55"/>
      <c r="Q76" s="56"/>
      <c r="R76" s="56"/>
      <c r="S76" s="56"/>
      <c r="T76" s="221"/>
      <c r="U76" s="227"/>
      <c r="V76" s="227"/>
      <c r="W76" s="227"/>
      <c r="X76" s="149"/>
      <c r="Y76" s="56"/>
      <c r="Z76" s="56"/>
      <c r="AA76" s="57"/>
    </row>
    <row r="77" spans="1:27" s="14" customFormat="1" ht="20.100000000000001" customHeight="1" x14ac:dyDescent="0.15">
      <c r="A77" s="339"/>
      <c r="B77" s="330"/>
      <c r="C77" s="155" t="s">
        <v>215</v>
      </c>
      <c r="D77" s="155">
        <v>1</v>
      </c>
      <c r="E77" s="54">
        <f t="shared" si="4"/>
        <v>11</v>
      </c>
      <c r="F77" s="54">
        <f t="shared" si="5"/>
        <v>11</v>
      </c>
      <c r="G77" s="54">
        <f t="shared" si="6"/>
        <v>2</v>
      </c>
      <c r="H77" s="55"/>
      <c r="I77" s="56"/>
      <c r="J77" s="56"/>
      <c r="K77" s="56"/>
      <c r="L77" s="55"/>
      <c r="M77" s="56"/>
      <c r="N77" s="56"/>
      <c r="O77" s="56"/>
      <c r="P77" s="55"/>
      <c r="Q77" s="56"/>
      <c r="R77" s="56"/>
      <c r="S77" s="56"/>
      <c r="T77" s="221">
        <v>44553</v>
      </c>
      <c r="U77" s="227">
        <v>11</v>
      </c>
      <c r="V77" s="227">
        <v>11</v>
      </c>
      <c r="W77" s="227">
        <v>2</v>
      </c>
      <c r="X77" s="149"/>
      <c r="Y77" s="56"/>
      <c r="Z77" s="56"/>
      <c r="AA77" s="57"/>
    </row>
    <row r="78" spans="1:27" s="14" customFormat="1" ht="20.100000000000001" customHeight="1" x14ac:dyDescent="0.15">
      <c r="A78" s="339"/>
      <c r="B78" s="330"/>
      <c r="C78" s="155" t="s">
        <v>195</v>
      </c>
      <c r="D78" s="155">
        <v>1</v>
      </c>
      <c r="E78" s="54">
        <f t="shared" si="4"/>
        <v>7</v>
      </c>
      <c r="F78" s="54">
        <f t="shared" si="5"/>
        <v>7</v>
      </c>
      <c r="G78" s="54">
        <f t="shared" si="6"/>
        <v>3</v>
      </c>
      <c r="H78" s="55"/>
      <c r="I78" s="56"/>
      <c r="J78" s="56"/>
      <c r="K78" s="56"/>
      <c r="L78" s="55"/>
      <c r="M78" s="56"/>
      <c r="N78" s="56"/>
      <c r="O78" s="56"/>
      <c r="P78" s="55">
        <v>44391</v>
      </c>
      <c r="Q78" s="56">
        <v>7</v>
      </c>
      <c r="R78" s="56">
        <v>7</v>
      </c>
      <c r="S78" s="56">
        <v>3</v>
      </c>
      <c r="T78" s="221"/>
      <c r="U78" s="227"/>
      <c r="V78" s="227"/>
      <c r="W78" s="227"/>
      <c r="X78" s="149"/>
      <c r="Y78" s="56"/>
      <c r="Z78" s="56"/>
      <c r="AA78" s="57"/>
    </row>
    <row r="79" spans="1:27" s="14" customFormat="1" ht="20.100000000000001" customHeight="1" x14ac:dyDescent="0.15">
      <c r="A79" s="339"/>
      <c r="B79" s="330"/>
      <c r="C79" s="155" t="s">
        <v>208</v>
      </c>
      <c r="D79" s="53">
        <v>1</v>
      </c>
      <c r="E79" s="54">
        <f t="shared" si="4"/>
        <v>16</v>
      </c>
      <c r="F79" s="54">
        <f t="shared" si="5"/>
        <v>16</v>
      </c>
      <c r="G79" s="54">
        <f t="shared" si="6"/>
        <v>3</v>
      </c>
      <c r="H79" s="55"/>
      <c r="I79" s="56"/>
      <c r="J79" s="56"/>
      <c r="K79" s="56"/>
      <c r="L79" s="55"/>
      <c r="M79" s="56"/>
      <c r="N79" s="56"/>
      <c r="O79" s="56"/>
      <c r="P79" s="55"/>
      <c r="Q79" s="56"/>
      <c r="R79" s="56"/>
      <c r="S79" s="56"/>
      <c r="T79" s="221">
        <v>44540</v>
      </c>
      <c r="U79" s="227">
        <v>16</v>
      </c>
      <c r="V79" s="227">
        <v>16</v>
      </c>
      <c r="W79" s="227">
        <v>3</v>
      </c>
      <c r="X79" s="149"/>
      <c r="Y79" s="56"/>
      <c r="Z79" s="56"/>
      <c r="AA79" s="57"/>
    </row>
    <row r="80" spans="1:27" s="14" customFormat="1" ht="20.100000000000001" customHeight="1" x14ac:dyDescent="0.15">
      <c r="A80" s="345"/>
      <c r="B80" s="346"/>
      <c r="C80" s="59" t="s">
        <v>131</v>
      </c>
      <c r="D80" s="59"/>
      <c r="E80" s="60">
        <f t="shared" si="4"/>
        <v>0</v>
      </c>
      <c r="F80" s="60">
        <f t="shared" si="5"/>
        <v>0</v>
      </c>
      <c r="G80" s="60">
        <f t="shared" si="6"/>
        <v>0</v>
      </c>
      <c r="H80" s="61"/>
      <c r="I80" s="62"/>
      <c r="J80" s="62"/>
      <c r="K80" s="62"/>
      <c r="L80" s="61"/>
      <c r="M80" s="62"/>
      <c r="N80" s="62"/>
      <c r="O80" s="62"/>
      <c r="P80" s="61"/>
      <c r="Q80" s="62"/>
      <c r="R80" s="62"/>
      <c r="S80" s="62"/>
      <c r="T80" s="228"/>
      <c r="U80" s="229"/>
      <c r="V80" s="229"/>
      <c r="W80" s="229"/>
      <c r="X80" s="150"/>
      <c r="Y80" s="62"/>
      <c r="Z80" s="62"/>
      <c r="AA80" s="63"/>
    </row>
  </sheetData>
  <mergeCells count="42">
    <mergeCell ref="A74:A80"/>
    <mergeCell ref="B74:B80"/>
    <mergeCell ref="A45:A47"/>
    <mergeCell ref="B45:B47"/>
    <mergeCell ref="A48:A69"/>
    <mergeCell ref="B48:B57"/>
    <mergeCell ref="A70:A73"/>
    <mergeCell ref="B61:B69"/>
    <mergeCell ref="B70:B73"/>
    <mergeCell ref="A43:A44"/>
    <mergeCell ref="B43:B44"/>
    <mergeCell ref="B28:B30"/>
    <mergeCell ref="B32:B34"/>
    <mergeCell ref="A28:A35"/>
    <mergeCell ref="A37:A38"/>
    <mergeCell ref="B39:B42"/>
    <mergeCell ref="A39:A42"/>
    <mergeCell ref="A24:A25"/>
    <mergeCell ref="A26:A27"/>
    <mergeCell ref="B26:B27"/>
    <mergeCell ref="A5:C5"/>
    <mergeCell ref="B6:B8"/>
    <mergeCell ref="B10:B15"/>
    <mergeCell ref="B16:B17"/>
    <mergeCell ref="A6:A23"/>
    <mergeCell ref="B18:B20"/>
    <mergeCell ref="B21:B23"/>
    <mergeCell ref="X3:AA3"/>
    <mergeCell ref="A1:V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T3:W3"/>
    <mergeCell ref="H2:AA2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6DAF1"/>
  </sheetPr>
  <dimension ref="A1:R21"/>
  <sheetViews>
    <sheetView zoomScaleNormal="100" zoomScaleSheetLayoutView="75" workbookViewId="0">
      <pane xSplit="3" ySplit="4" topLeftCell="D5" activePane="bottomRight" state="frozen"/>
      <selection pane="topRight"/>
      <selection pane="bottomLeft"/>
      <selection pane="bottomRight" activeCell="U16" sqref="U16"/>
    </sheetView>
  </sheetViews>
  <sheetFormatPr defaultColWidth="8.88671875" defaultRowHeight="13.5" x14ac:dyDescent="0.15"/>
  <cols>
    <col min="1" max="1" width="6.77734375" customWidth="1"/>
    <col min="2" max="2" width="5.77734375" customWidth="1"/>
    <col min="3" max="3" width="6.77734375" customWidth="1"/>
    <col min="4" max="4" width="5.77734375" customWidth="1"/>
    <col min="5" max="6" width="6.6640625" customWidth="1"/>
    <col min="7" max="12" width="6.33203125" customWidth="1"/>
    <col min="13" max="14" width="6.6640625" customWidth="1"/>
    <col min="15" max="18" width="6.33203125" customWidth="1"/>
  </cols>
  <sheetData>
    <row r="1" spans="1:18" ht="30.75" customHeight="1" x14ac:dyDescent="0.15">
      <c r="A1" s="325" t="s">
        <v>181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8" customHeight="1" x14ac:dyDescent="0.15">
      <c r="A2" s="384" t="s">
        <v>73</v>
      </c>
      <c r="B2" s="387" t="s">
        <v>151</v>
      </c>
      <c r="C2" s="387" t="s">
        <v>44</v>
      </c>
      <c r="D2" s="387" t="s">
        <v>26</v>
      </c>
      <c r="E2" s="387" t="s">
        <v>227</v>
      </c>
      <c r="F2" s="387"/>
      <c r="G2" s="387"/>
      <c r="H2" s="387"/>
      <c r="I2" s="387"/>
      <c r="J2" s="387"/>
      <c r="K2" s="387"/>
      <c r="L2" s="387"/>
      <c r="M2" s="387" t="s">
        <v>230</v>
      </c>
      <c r="N2" s="387"/>
      <c r="O2" s="387"/>
      <c r="P2" s="387"/>
      <c r="Q2" s="387"/>
      <c r="R2" s="390"/>
    </row>
    <row r="3" spans="1:18" ht="18" customHeight="1" x14ac:dyDescent="0.15">
      <c r="A3" s="385"/>
      <c r="B3" s="388"/>
      <c r="C3" s="388"/>
      <c r="D3" s="388"/>
      <c r="E3" s="388" t="s">
        <v>120</v>
      </c>
      <c r="F3" s="388"/>
      <c r="G3" s="388" t="s">
        <v>88</v>
      </c>
      <c r="H3" s="388"/>
      <c r="I3" s="388" t="s">
        <v>109</v>
      </c>
      <c r="J3" s="388"/>
      <c r="K3" s="388" t="s">
        <v>147</v>
      </c>
      <c r="L3" s="388"/>
      <c r="M3" s="394" t="s">
        <v>120</v>
      </c>
      <c r="N3" s="394"/>
      <c r="O3" s="391" t="s">
        <v>41</v>
      </c>
      <c r="P3" s="391"/>
      <c r="Q3" s="392" t="s">
        <v>229</v>
      </c>
      <c r="R3" s="393"/>
    </row>
    <row r="4" spans="1:18" ht="18" customHeight="1" x14ac:dyDescent="0.15">
      <c r="A4" s="386"/>
      <c r="B4" s="389"/>
      <c r="C4" s="389"/>
      <c r="D4" s="389"/>
      <c r="E4" s="72" t="s">
        <v>128</v>
      </c>
      <c r="F4" s="72" t="s">
        <v>198</v>
      </c>
      <c r="G4" s="72" t="s">
        <v>128</v>
      </c>
      <c r="H4" s="72" t="s">
        <v>198</v>
      </c>
      <c r="I4" s="72" t="s">
        <v>128</v>
      </c>
      <c r="J4" s="72" t="s">
        <v>198</v>
      </c>
      <c r="K4" s="72" t="s">
        <v>128</v>
      </c>
      <c r="L4" s="72" t="s">
        <v>198</v>
      </c>
      <c r="M4" s="164" t="s">
        <v>128</v>
      </c>
      <c r="N4" s="164" t="s">
        <v>28</v>
      </c>
      <c r="O4" s="165" t="s">
        <v>128</v>
      </c>
      <c r="P4" s="166" t="s">
        <v>28</v>
      </c>
      <c r="Q4" s="166" t="s">
        <v>128</v>
      </c>
      <c r="R4" s="167" t="s">
        <v>28</v>
      </c>
    </row>
    <row r="5" spans="1:18" ht="20.25" customHeight="1" x14ac:dyDescent="0.15">
      <c r="A5" s="382" t="s">
        <v>184</v>
      </c>
      <c r="B5" s="383"/>
      <c r="C5" s="383"/>
      <c r="D5" s="383"/>
      <c r="E5" s="101">
        <f>SUM(G5+I5+K5)</f>
        <v>187</v>
      </c>
      <c r="F5" s="101">
        <f>SUM(H5+J5+L5)</f>
        <v>187</v>
      </c>
      <c r="G5" s="101">
        <f t="shared" ref="G5:L5" si="0">SUM(G6:G21)</f>
        <v>0</v>
      </c>
      <c r="H5" s="101">
        <f t="shared" si="0"/>
        <v>0</v>
      </c>
      <c r="I5" s="101">
        <f t="shared" si="0"/>
        <v>93</v>
      </c>
      <c r="J5" s="101">
        <f t="shared" si="0"/>
        <v>93</v>
      </c>
      <c r="K5" s="101">
        <f t="shared" si="0"/>
        <v>94</v>
      </c>
      <c r="L5" s="101">
        <f t="shared" si="0"/>
        <v>94</v>
      </c>
      <c r="M5" s="102">
        <f>SUM(O5+Q5)</f>
        <v>106</v>
      </c>
      <c r="N5" s="102">
        <f>SUM(P5+R5)</f>
        <v>8</v>
      </c>
      <c r="O5" s="102">
        <f>SUM(O6:O21)</f>
        <v>15</v>
      </c>
      <c r="P5" s="102">
        <f>SUM(P6:P21)</f>
        <v>2</v>
      </c>
      <c r="Q5" s="102">
        <f>SUM(Q6:Q21)</f>
        <v>91</v>
      </c>
      <c r="R5" s="103">
        <f>SUM(R6:R21)</f>
        <v>6</v>
      </c>
    </row>
    <row r="6" spans="1:18" ht="24.95" customHeight="1" x14ac:dyDescent="0.15">
      <c r="A6" s="395" t="s">
        <v>71</v>
      </c>
      <c r="B6" s="387" t="s">
        <v>30</v>
      </c>
      <c r="C6" s="158" t="s">
        <v>112</v>
      </c>
      <c r="D6" s="104">
        <v>44348</v>
      </c>
      <c r="E6" s="105">
        <f t="shared" ref="E6:E17" si="1">G6+I6+K6</f>
        <v>67</v>
      </c>
      <c r="F6" s="105">
        <f t="shared" ref="F6:F17" si="2">H6+J6+L6</f>
        <v>67</v>
      </c>
      <c r="G6" s="105"/>
      <c r="H6" s="105"/>
      <c r="I6" s="105">
        <v>33</v>
      </c>
      <c r="J6" s="105">
        <v>33</v>
      </c>
      <c r="K6" s="105">
        <v>34</v>
      </c>
      <c r="L6" s="105">
        <v>34</v>
      </c>
      <c r="M6" s="106">
        <f>SUM(O6+Q6)</f>
        <v>33</v>
      </c>
      <c r="N6" s="106">
        <f>SUM(P6+R6)</f>
        <v>3</v>
      </c>
      <c r="O6" s="106"/>
      <c r="P6" s="106"/>
      <c r="Q6" s="106">
        <v>33</v>
      </c>
      <c r="R6" s="107">
        <v>3</v>
      </c>
    </row>
    <row r="7" spans="1:18" ht="24.95" customHeight="1" x14ac:dyDescent="0.15">
      <c r="A7" s="396"/>
      <c r="B7" s="388"/>
      <c r="C7" s="157" t="s">
        <v>118</v>
      </c>
      <c r="D7" s="68">
        <v>44397</v>
      </c>
      <c r="E7" s="67">
        <f t="shared" si="1"/>
        <v>50</v>
      </c>
      <c r="F7" s="67">
        <f t="shared" si="2"/>
        <v>50</v>
      </c>
      <c r="G7" s="67"/>
      <c r="H7" s="67"/>
      <c r="I7" s="67">
        <v>25</v>
      </c>
      <c r="J7" s="67">
        <v>25</v>
      </c>
      <c r="K7" s="67">
        <v>25</v>
      </c>
      <c r="L7" s="67">
        <v>25</v>
      </c>
      <c r="M7" s="73">
        <f t="shared" ref="M7:M20" si="3">SUM(O7+Q7)</f>
        <v>29</v>
      </c>
      <c r="N7" s="73">
        <f t="shared" ref="N7:N20" si="4">SUM(P7+R7)</f>
        <v>1</v>
      </c>
      <c r="O7" s="73">
        <f>4</f>
        <v>4</v>
      </c>
      <c r="P7" s="73">
        <f>1</f>
        <v>1</v>
      </c>
      <c r="Q7" s="73">
        <v>25</v>
      </c>
      <c r="R7" s="74">
        <v>0</v>
      </c>
    </row>
    <row r="8" spans="1:18" ht="24.95" customHeight="1" x14ac:dyDescent="0.15">
      <c r="A8" s="396"/>
      <c r="B8" s="388"/>
      <c r="C8" s="157" t="s">
        <v>98</v>
      </c>
      <c r="D8" s="68"/>
      <c r="E8" s="67">
        <f t="shared" si="1"/>
        <v>0</v>
      </c>
      <c r="F8" s="67">
        <f t="shared" si="2"/>
        <v>0</v>
      </c>
      <c r="G8" s="67"/>
      <c r="H8" s="67"/>
      <c r="I8" s="67"/>
      <c r="J8" s="67"/>
      <c r="K8" s="67"/>
      <c r="L8" s="67"/>
      <c r="M8" s="73">
        <f>SUM(O8+Q8)</f>
        <v>0</v>
      </c>
      <c r="N8" s="73">
        <f>SUM(P8+R8)</f>
        <v>0</v>
      </c>
      <c r="O8" s="73"/>
      <c r="P8" s="73"/>
      <c r="Q8" s="73"/>
      <c r="R8" s="74"/>
    </row>
    <row r="9" spans="1:18" ht="24.95" customHeight="1" x14ac:dyDescent="0.15">
      <c r="A9" s="396" t="s">
        <v>84</v>
      </c>
      <c r="B9" s="157" t="s">
        <v>92</v>
      </c>
      <c r="C9" s="157" t="s">
        <v>64</v>
      </c>
      <c r="D9" s="69"/>
      <c r="E9" s="67">
        <f t="shared" si="1"/>
        <v>0</v>
      </c>
      <c r="F9" s="67">
        <f t="shared" si="2"/>
        <v>0</v>
      </c>
      <c r="G9" s="67"/>
      <c r="H9" s="67"/>
      <c r="I9" s="67"/>
      <c r="J9" s="67"/>
      <c r="K9" s="67"/>
      <c r="L9" s="67"/>
      <c r="M9" s="73">
        <f t="shared" si="3"/>
        <v>0</v>
      </c>
      <c r="N9" s="73">
        <f t="shared" si="4"/>
        <v>0</v>
      </c>
      <c r="O9" s="73"/>
      <c r="P9" s="73"/>
      <c r="Q9" s="73"/>
      <c r="R9" s="74"/>
    </row>
    <row r="10" spans="1:18" ht="24.95" customHeight="1" x14ac:dyDescent="0.15">
      <c r="A10" s="396"/>
      <c r="B10" s="157" t="s">
        <v>10</v>
      </c>
      <c r="C10" s="157" t="s">
        <v>141</v>
      </c>
      <c r="D10" s="69"/>
      <c r="E10" s="67">
        <f t="shared" si="1"/>
        <v>0</v>
      </c>
      <c r="F10" s="67">
        <f t="shared" si="2"/>
        <v>0</v>
      </c>
      <c r="G10" s="67"/>
      <c r="H10" s="67"/>
      <c r="I10" s="67"/>
      <c r="J10" s="67"/>
      <c r="K10" s="67"/>
      <c r="L10" s="67"/>
      <c r="M10" s="73">
        <f>SUM(O10+Q10)</f>
        <v>0</v>
      </c>
      <c r="N10" s="73">
        <f>SUM(P10+R10)</f>
        <v>0</v>
      </c>
      <c r="O10" s="73"/>
      <c r="P10" s="73"/>
      <c r="Q10" s="73"/>
      <c r="R10" s="74"/>
    </row>
    <row r="11" spans="1:18" ht="24.95" customHeight="1" x14ac:dyDescent="0.15">
      <c r="A11" s="396"/>
      <c r="B11" s="157" t="s">
        <v>104</v>
      </c>
      <c r="C11" s="157" t="s">
        <v>63</v>
      </c>
      <c r="D11" s="68"/>
      <c r="E11" s="67">
        <f t="shared" si="1"/>
        <v>0</v>
      </c>
      <c r="F11" s="67">
        <f t="shared" si="2"/>
        <v>0</v>
      </c>
      <c r="G11" s="67"/>
      <c r="H11" s="67"/>
      <c r="I11" s="67"/>
      <c r="J11" s="67"/>
      <c r="K11" s="67"/>
      <c r="L11" s="67"/>
      <c r="M11" s="73">
        <f t="shared" si="3"/>
        <v>0</v>
      </c>
      <c r="N11" s="73">
        <f t="shared" si="4"/>
        <v>0</v>
      </c>
      <c r="O11" s="73"/>
      <c r="P11" s="73"/>
      <c r="Q11" s="73"/>
      <c r="R11" s="74"/>
    </row>
    <row r="12" spans="1:18" ht="24.95" customHeight="1" x14ac:dyDescent="0.15">
      <c r="A12" s="396"/>
      <c r="B12" s="157" t="s">
        <v>18</v>
      </c>
      <c r="C12" s="157" t="s">
        <v>96</v>
      </c>
      <c r="D12" s="68"/>
      <c r="E12" s="67">
        <f t="shared" si="1"/>
        <v>0</v>
      </c>
      <c r="F12" s="67">
        <f t="shared" si="2"/>
        <v>0</v>
      </c>
      <c r="G12" s="67"/>
      <c r="H12" s="67"/>
      <c r="I12" s="67"/>
      <c r="J12" s="67"/>
      <c r="K12" s="67"/>
      <c r="L12" s="67"/>
      <c r="M12" s="73">
        <f t="shared" si="3"/>
        <v>0</v>
      </c>
      <c r="N12" s="73">
        <f t="shared" si="4"/>
        <v>0</v>
      </c>
      <c r="O12" s="73"/>
      <c r="P12" s="73"/>
      <c r="Q12" s="73"/>
      <c r="R12" s="74"/>
    </row>
    <row r="13" spans="1:18" ht="24.95" customHeight="1" x14ac:dyDescent="0.15">
      <c r="A13" s="396"/>
      <c r="B13" s="157" t="s">
        <v>50</v>
      </c>
      <c r="C13" s="157" t="s">
        <v>90</v>
      </c>
      <c r="D13" s="68"/>
      <c r="E13" s="67">
        <f t="shared" si="1"/>
        <v>0</v>
      </c>
      <c r="F13" s="67">
        <f t="shared" si="2"/>
        <v>0</v>
      </c>
      <c r="G13" s="67"/>
      <c r="H13" s="67"/>
      <c r="I13" s="67"/>
      <c r="J13" s="67"/>
      <c r="K13" s="67"/>
      <c r="L13" s="67"/>
      <c r="M13" s="73">
        <f t="shared" ref="M13:M19" si="5">SUM(O13+Q13)</f>
        <v>0</v>
      </c>
      <c r="N13" s="73">
        <f t="shared" ref="N13:N19" si="6">SUM(P13+R13)</f>
        <v>0</v>
      </c>
      <c r="O13" s="73"/>
      <c r="P13" s="73"/>
      <c r="Q13" s="73"/>
      <c r="R13" s="74"/>
    </row>
    <row r="14" spans="1:18" ht="24.95" customHeight="1" x14ac:dyDescent="0.15">
      <c r="A14" s="396"/>
      <c r="B14" s="157" t="s">
        <v>52</v>
      </c>
      <c r="C14" s="157" t="s">
        <v>143</v>
      </c>
      <c r="D14" s="68"/>
      <c r="E14" s="67">
        <f t="shared" si="1"/>
        <v>0</v>
      </c>
      <c r="F14" s="67">
        <f t="shared" si="2"/>
        <v>0</v>
      </c>
      <c r="G14" s="67"/>
      <c r="H14" s="67"/>
      <c r="I14" s="67"/>
      <c r="J14" s="67"/>
      <c r="K14" s="67"/>
      <c r="L14" s="67"/>
      <c r="M14" s="73">
        <f t="shared" si="5"/>
        <v>0</v>
      </c>
      <c r="N14" s="73">
        <f t="shared" si="6"/>
        <v>0</v>
      </c>
      <c r="O14" s="73"/>
      <c r="P14" s="73"/>
      <c r="Q14" s="73"/>
      <c r="R14" s="74"/>
    </row>
    <row r="15" spans="1:18" ht="24.95" customHeight="1" x14ac:dyDescent="0.15">
      <c r="A15" s="396"/>
      <c r="B15" s="157" t="s">
        <v>89</v>
      </c>
      <c r="C15" s="161" t="s">
        <v>54</v>
      </c>
      <c r="D15" s="68">
        <v>44516</v>
      </c>
      <c r="E15" s="67">
        <f t="shared" si="1"/>
        <v>70</v>
      </c>
      <c r="F15" s="67">
        <f t="shared" si="2"/>
        <v>70</v>
      </c>
      <c r="G15" s="67"/>
      <c r="H15" s="67"/>
      <c r="I15" s="67">
        <v>35</v>
      </c>
      <c r="J15" s="67">
        <v>35</v>
      </c>
      <c r="K15" s="67">
        <v>35</v>
      </c>
      <c r="L15" s="67">
        <v>35</v>
      </c>
      <c r="M15" s="73">
        <f t="shared" si="5"/>
        <v>44</v>
      </c>
      <c r="N15" s="73">
        <f t="shared" si="6"/>
        <v>4</v>
      </c>
      <c r="O15" s="73">
        <v>11</v>
      </c>
      <c r="P15" s="73">
        <v>1</v>
      </c>
      <c r="Q15" s="73">
        <v>33</v>
      </c>
      <c r="R15" s="74">
        <v>3</v>
      </c>
    </row>
    <row r="16" spans="1:18" ht="24.95" customHeight="1" x14ac:dyDescent="0.15">
      <c r="A16" s="396"/>
      <c r="B16" s="157" t="s">
        <v>47</v>
      </c>
      <c r="C16" s="161" t="s">
        <v>115</v>
      </c>
      <c r="D16" s="68"/>
      <c r="E16" s="67">
        <f t="shared" si="1"/>
        <v>0</v>
      </c>
      <c r="F16" s="67">
        <f t="shared" si="2"/>
        <v>0</v>
      </c>
      <c r="G16" s="67"/>
      <c r="H16" s="67"/>
      <c r="I16" s="67"/>
      <c r="J16" s="67"/>
      <c r="K16" s="67"/>
      <c r="L16" s="67"/>
      <c r="M16" s="73">
        <f t="shared" si="5"/>
        <v>0</v>
      </c>
      <c r="N16" s="73">
        <f t="shared" si="6"/>
        <v>0</v>
      </c>
      <c r="O16" s="73"/>
      <c r="P16" s="73"/>
      <c r="Q16" s="73"/>
      <c r="R16" s="74"/>
    </row>
    <row r="17" spans="1:18" ht="24.95" customHeight="1" x14ac:dyDescent="0.15">
      <c r="A17" s="396"/>
      <c r="B17" s="389" t="s">
        <v>111</v>
      </c>
      <c r="C17" s="157" t="s">
        <v>78</v>
      </c>
      <c r="D17" s="68"/>
      <c r="E17" s="67">
        <f t="shared" si="1"/>
        <v>0</v>
      </c>
      <c r="F17" s="67">
        <f t="shared" si="2"/>
        <v>0</v>
      </c>
      <c r="G17" s="67"/>
      <c r="H17" s="67"/>
      <c r="I17" s="67"/>
      <c r="J17" s="67"/>
      <c r="K17" s="67"/>
      <c r="L17" s="67"/>
      <c r="M17" s="73">
        <f>SUM(O17+Q17)</f>
        <v>0</v>
      </c>
      <c r="N17" s="73">
        <f>SUM(P17+R17)</f>
        <v>0</v>
      </c>
      <c r="O17" s="73"/>
      <c r="P17" s="73"/>
      <c r="Q17" s="73"/>
      <c r="R17" s="74"/>
    </row>
    <row r="18" spans="1:18" ht="24.95" customHeight="1" x14ac:dyDescent="0.15">
      <c r="A18" s="396"/>
      <c r="B18" s="397"/>
      <c r="C18" s="157" t="s">
        <v>81</v>
      </c>
      <c r="D18" s="68"/>
      <c r="E18" s="67">
        <f>SUM(G18,I18,K18)</f>
        <v>0</v>
      </c>
      <c r="F18" s="67">
        <f>SUM(H18,J18,L18)</f>
        <v>0</v>
      </c>
      <c r="G18" s="67"/>
      <c r="H18" s="67"/>
      <c r="I18" s="67"/>
      <c r="J18" s="67"/>
      <c r="K18" s="67"/>
      <c r="L18" s="67"/>
      <c r="M18" s="73">
        <f>SUM(O18,Q18)</f>
        <v>0</v>
      </c>
      <c r="N18" s="73">
        <f>SUM(P18,R18)</f>
        <v>0</v>
      </c>
      <c r="O18" s="73"/>
      <c r="P18" s="73"/>
      <c r="Q18" s="73"/>
      <c r="R18" s="74"/>
    </row>
    <row r="19" spans="1:18" ht="24.95" customHeight="1" x14ac:dyDescent="0.15">
      <c r="A19" s="396"/>
      <c r="B19" s="389" t="s">
        <v>119</v>
      </c>
      <c r="C19" s="157" t="s">
        <v>20</v>
      </c>
      <c r="D19" s="68"/>
      <c r="E19" s="67">
        <f t="shared" ref="E19:F21" si="7">G19+I19+K19</f>
        <v>0</v>
      </c>
      <c r="F19" s="67">
        <f t="shared" si="7"/>
        <v>0</v>
      </c>
      <c r="G19" s="67"/>
      <c r="H19" s="67"/>
      <c r="I19" s="67"/>
      <c r="J19" s="67"/>
      <c r="K19" s="67"/>
      <c r="L19" s="67"/>
      <c r="M19" s="73">
        <f t="shared" si="5"/>
        <v>0</v>
      </c>
      <c r="N19" s="73">
        <f t="shared" si="6"/>
        <v>0</v>
      </c>
      <c r="O19" s="73"/>
      <c r="P19" s="73"/>
      <c r="Q19" s="73"/>
      <c r="R19" s="74"/>
    </row>
    <row r="20" spans="1:18" ht="24.95" customHeight="1" x14ac:dyDescent="0.15">
      <c r="A20" s="396"/>
      <c r="B20" s="397"/>
      <c r="C20" s="157" t="s">
        <v>34</v>
      </c>
      <c r="D20" s="68"/>
      <c r="E20" s="67">
        <f t="shared" si="7"/>
        <v>0</v>
      </c>
      <c r="F20" s="67">
        <f t="shared" si="7"/>
        <v>0</v>
      </c>
      <c r="G20" s="67"/>
      <c r="H20" s="67"/>
      <c r="I20" s="67"/>
      <c r="J20" s="67"/>
      <c r="K20" s="67"/>
      <c r="L20" s="67"/>
      <c r="M20" s="73">
        <f t="shared" si="3"/>
        <v>0</v>
      </c>
      <c r="N20" s="73">
        <f t="shared" si="4"/>
        <v>0</v>
      </c>
      <c r="O20" s="73"/>
      <c r="P20" s="73"/>
      <c r="Q20" s="73"/>
      <c r="R20" s="74"/>
    </row>
    <row r="21" spans="1:18" ht="24.95" customHeight="1" x14ac:dyDescent="0.15">
      <c r="A21" s="162" t="s">
        <v>107</v>
      </c>
      <c r="B21" s="160" t="s">
        <v>152</v>
      </c>
      <c r="C21" s="160" t="s">
        <v>75</v>
      </c>
      <c r="D21" s="70"/>
      <c r="E21" s="71">
        <f t="shared" si="7"/>
        <v>0</v>
      </c>
      <c r="F21" s="71">
        <f t="shared" si="7"/>
        <v>0</v>
      </c>
      <c r="G21" s="71"/>
      <c r="H21" s="71"/>
      <c r="I21" s="71"/>
      <c r="J21" s="71"/>
      <c r="K21" s="71"/>
      <c r="L21" s="71"/>
      <c r="M21" s="75">
        <f>SUM(O21+Q21)</f>
        <v>0</v>
      </c>
      <c r="N21" s="75">
        <f>SUM(P21+R21)</f>
        <v>0</v>
      </c>
      <c r="O21" s="75"/>
      <c r="P21" s="75"/>
      <c r="Q21" s="75"/>
      <c r="R21" s="76"/>
    </row>
  </sheetData>
  <mergeCells count="20">
    <mergeCell ref="B6:B8"/>
    <mergeCell ref="A6:A8"/>
    <mergeCell ref="A9:A20"/>
    <mergeCell ref="B17:B18"/>
    <mergeCell ref="B19:B20"/>
    <mergeCell ref="A5:D5"/>
    <mergeCell ref="A1:R1"/>
    <mergeCell ref="A2:A4"/>
    <mergeCell ref="B2:B4"/>
    <mergeCell ref="C2:C4"/>
    <mergeCell ref="D2:D4"/>
    <mergeCell ref="M2:R2"/>
    <mergeCell ref="E3:F3"/>
    <mergeCell ref="G3:H3"/>
    <mergeCell ref="I3:J3"/>
    <mergeCell ref="K3:L3"/>
    <mergeCell ref="E2:L2"/>
    <mergeCell ref="O3:P3"/>
    <mergeCell ref="Q3:R3"/>
    <mergeCell ref="M3:N3"/>
  </mergeCells>
  <phoneticPr fontId="23" type="noConversion"/>
  <pageMargins left="0.56000000238418579" right="0.46986111998558044" top="0.47972223162651062" bottom="0.43000000715255737" header="0.34986111521720886" footer="0.2700000107288360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6DAF1"/>
  </sheetPr>
  <dimension ref="A1:L44"/>
  <sheetViews>
    <sheetView zoomScaleNormal="100" zoomScaleSheetLayoutView="75" workbookViewId="0">
      <pane xSplit="1" ySplit="7" topLeftCell="B8" activePane="bottomRight" state="frozen"/>
      <selection pane="topRight"/>
      <selection pane="bottomLeft"/>
      <selection pane="bottomRight" activeCell="H50" sqref="H50"/>
    </sheetView>
  </sheetViews>
  <sheetFormatPr defaultColWidth="8.88671875" defaultRowHeight="13.5" x14ac:dyDescent="0.15"/>
  <cols>
    <col min="1" max="1" width="6" style="7" customWidth="1"/>
    <col min="2" max="2" width="8" style="7" customWidth="1"/>
    <col min="3" max="3" width="9.88671875" style="7" customWidth="1"/>
    <col min="4" max="4" width="9.109375" style="7" customWidth="1"/>
    <col min="5" max="5" width="8.6640625" style="7" customWidth="1"/>
    <col min="6" max="6" width="8.5546875" style="7" customWidth="1"/>
    <col min="7" max="7" width="8.109375" style="7" customWidth="1"/>
    <col min="8" max="8" width="7.21875" style="7" customWidth="1"/>
    <col min="9" max="9" width="7.6640625" style="7" customWidth="1"/>
    <col min="10" max="10" width="5.77734375" style="7" customWidth="1"/>
    <col min="11" max="16384" width="8.88671875" style="7"/>
  </cols>
  <sheetData>
    <row r="1" spans="1:12" ht="25.5" x14ac:dyDescent="0.3">
      <c r="A1" s="3" t="s">
        <v>185</v>
      </c>
      <c r="B1" s="3"/>
      <c r="C1" s="3"/>
      <c r="D1" s="3"/>
      <c r="E1" s="1"/>
      <c r="F1" s="1"/>
      <c r="G1" s="1"/>
    </row>
    <row r="2" spans="1:12" ht="22.5" customHeight="1" x14ac:dyDescent="0.15">
      <c r="D2" s="8"/>
    </row>
    <row r="3" spans="1:12" ht="19.5" customHeight="1" x14ac:dyDescent="0.15">
      <c r="A3" s="300" t="s">
        <v>87</v>
      </c>
      <c r="B3" s="294" t="s">
        <v>72</v>
      </c>
      <c r="C3" s="294" t="s">
        <v>227</v>
      </c>
      <c r="D3" s="294"/>
      <c r="E3" s="294"/>
      <c r="F3" s="294"/>
      <c r="G3" s="294" t="s">
        <v>232</v>
      </c>
      <c r="H3" s="294"/>
      <c r="I3" s="294"/>
      <c r="J3" s="295" t="s">
        <v>193</v>
      </c>
    </row>
    <row r="4" spans="1:12" ht="24" customHeight="1" x14ac:dyDescent="0.15">
      <c r="A4" s="301"/>
      <c r="B4" s="299"/>
      <c r="C4" s="50" t="s">
        <v>37</v>
      </c>
      <c r="D4" s="50" t="s">
        <v>88</v>
      </c>
      <c r="E4" s="50" t="s">
        <v>109</v>
      </c>
      <c r="F4" s="50" t="s">
        <v>147</v>
      </c>
      <c r="G4" s="50" t="s">
        <v>120</v>
      </c>
      <c r="H4" s="50" t="s">
        <v>41</v>
      </c>
      <c r="I4" s="50" t="s">
        <v>229</v>
      </c>
      <c r="J4" s="296"/>
    </row>
    <row r="5" spans="1:12" ht="24" customHeight="1" x14ac:dyDescent="0.15">
      <c r="A5" s="297" t="s">
        <v>37</v>
      </c>
      <c r="B5" s="43" t="s">
        <v>128</v>
      </c>
      <c r="C5" s="43">
        <f>SUM(C8+C11+C14+C17+C20+C23+C26+C29+C32+C35+C38+C41)</f>
        <v>4200</v>
      </c>
      <c r="D5" s="43">
        <f t="shared" ref="D5:F7" si="0">SUM(D8,D11,D14,D17,D20,D23,D26,D29,D32,D35,D38,D41)</f>
        <v>1586</v>
      </c>
      <c r="E5" s="81">
        <f t="shared" si="0"/>
        <v>1581</v>
      </c>
      <c r="F5" s="52">
        <f t="shared" si="0"/>
        <v>1033</v>
      </c>
      <c r="G5" s="43">
        <f>SUM(H5,I5)</f>
        <v>1097</v>
      </c>
      <c r="H5" s="43">
        <f t="shared" ref="H5:I7" si="1">SUM(H8,H11,H14,H17,H20,H23,H26,H29,H32,H35,H38,H41)</f>
        <v>452</v>
      </c>
      <c r="I5" s="43">
        <f t="shared" si="1"/>
        <v>645</v>
      </c>
      <c r="J5" s="45"/>
    </row>
    <row r="6" spans="1:12" ht="24" customHeight="1" x14ac:dyDescent="0.15">
      <c r="A6" s="293"/>
      <c r="B6" s="19" t="s">
        <v>70</v>
      </c>
      <c r="C6" s="19">
        <f t="shared" ref="C6:C7" si="2">SUM(C9+C12+C15+C18+C21+C24+C27+C30+C33+C36+C39+C42)</f>
        <v>11266</v>
      </c>
      <c r="D6" s="19">
        <f t="shared" si="0"/>
        <v>6239</v>
      </c>
      <c r="E6" s="20">
        <f t="shared" si="0"/>
        <v>3192</v>
      </c>
      <c r="F6" s="21">
        <f t="shared" si="0"/>
        <v>1835</v>
      </c>
      <c r="G6" s="19">
        <f>SUM(H6,I6)</f>
        <v>1356</v>
      </c>
      <c r="H6" s="19">
        <f t="shared" si="1"/>
        <v>452</v>
      </c>
      <c r="I6" s="19">
        <f t="shared" si="1"/>
        <v>904</v>
      </c>
      <c r="J6" s="22"/>
    </row>
    <row r="7" spans="1:12" ht="24" customHeight="1" x14ac:dyDescent="0.15">
      <c r="A7" s="298"/>
      <c r="B7" s="49" t="s">
        <v>172</v>
      </c>
      <c r="C7" s="82">
        <f t="shared" si="2"/>
        <v>74020</v>
      </c>
      <c r="D7" s="82">
        <f t="shared" si="0"/>
        <v>68993</v>
      </c>
      <c r="E7" s="83">
        <f t="shared" si="0"/>
        <v>3192</v>
      </c>
      <c r="F7" s="84">
        <f t="shared" si="0"/>
        <v>1835</v>
      </c>
      <c r="G7" s="85">
        <f>H7+I7</f>
        <v>195</v>
      </c>
      <c r="H7" s="86">
        <f t="shared" si="1"/>
        <v>125</v>
      </c>
      <c r="I7" s="86">
        <f t="shared" si="1"/>
        <v>70</v>
      </c>
      <c r="J7" s="87"/>
    </row>
    <row r="8" spans="1:12" ht="15.95" customHeight="1" x14ac:dyDescent="0.15">
      <c r="A8" s="291" t="s">
        <v>110</v>
      </c>
      <c r="B8" s="88" t="s">
        <v>128</v>
      </c>
      <c r="C8" s="88">
        <f t="shared" ref="C8:C43" si="3">SUM(D8:F8)</f>
        <v>0</v>
      </c>
      <c r="D8" s="88"/>
      <c r="E8" s="88"/>
      <c r="F8" s="88"/>
      <c r="G8" s="88">
        <f>H8+I8</f>
        <v>0</v>
      </c>
      <c r="H8" s="88"/>
      <c r="I8" s="88"/>
      <c r="J8" s="89"/>
    </row>
    <row r="9" spans="1:12" ht="15.95" customHeight="1" x14ac:dyDescent="0.15">
      <c r="A9" s="292"/>
      <c r="B9" s="19" t="s">
        <v>70</v>
      </c>
      <c r="C9" s="19">
        <f t="shared" si="3"/>
        <v>0</v>
      </c>
      <c r="D9" s="19"/>
      <c r="E9" s="19"/>
      <c r="F9" s="19"/>
      <c r="G9" s="19">
        <f>H9+I9</f>
        <v>0</v>
      </c>
      <c r="H9" s="19"/>
      <c r="I9" s="19"/>
      <c r="J9" s="22"/>
    </row>
    <row r="10" spans="1:12" ht="15.95" customHeight="1" x14ac:dyDescent="0.15">
      <c r="A10" s="292"/>
      <c r="B10" s="25" t="s">
        <v>198</v>
      </c>
      <c r="C10" s="19">
        <f t="shared" si="3"/>
        <v>0</v>
      </c>
      <c r="D10" s="19"/>
      <c r="E10" s="19"/>
      <c r="F10" s="19"/>
      <c r="G10" s="19">
        <f>H10+I10</f>
        <v>0</v>
      </c>
      <c r="H10" s="24"/>
      <c r="I10" s="24"/>
      <c r="J10" s="22"/>
    </row>
    <row r="11" spans="1:12" ht="15.95" customHeight="1" x14ac:dyDescent="0.15">
      <c r="A11" s="293" t="s">
        <v>149</v>
      </c>
      <c r="B11" s="19" t="s">
        <v>128</v>
      </c>
      <c r="C11" s="19">
        <f t="shared" si="3"/>
        <v>1063</v>
      </c>
      <c r="D11" s="19">
        <v>560</v>
      </c>
      <c r="E11" s="19">
        <v>397</v>
      </c>
      <c r="F11" s="19">
        <v>106</v>
      </c>
      <c r="G11" s="19">
        <f>SUM(H11:I11)</f>
        <v>0</v>
      </c>
      <c r="H11" s="19"/>
      <c r="I11" s="19"/>
      <c r="J11" s="22"/>
    </row>
    <row r="12" spans="1:12" ht="15.95" customHeight="1" x14ac:dyDescent="0.15">
      <c r="A12" s="293"/>
      <c r="B12" s="19" t="s">
        <v>70</v>
      </c>
      <c r="C12" s="19">
        <f t="shared" si="3"/>
        <v>1063</v>
      </c>
      <c r="D12" s="19">
        <v>560</v>
      </c>
      <c r="E12" s="19">
        <v>397</v>
      </c>
      <c r="F12" s="19">
        <v>106</v>
      </c>
      <c r="G12" s="19">
        <f>SUM(H12:I12)</f>
        <v>0</v>
      </c>
      <c r="H12" s="19"/>
      <c r="I12" s="19"/>
      <c r="J12" s="22"/>
      <c r="L12" s="10"/>
    </row>
    <row r="13" spans="1:12" ht="15.95" customHeight="1" x14ac:dyDescent="0.15">
      <c r="A13" s="293"/>
      <c r="B13" s="25" t="s">
        <v>198</v>
      </c>
      <c r="C13" s="19">
        <f t="shared" si="3"/>
        <v>6223</v>
      </c>
      <c r="D13" s="19">
        <v>5720</v>
      </c>
      <c r="E13" s="19">
        <v>397</v>
      </c>
      <c r="F13" s="19">
        <v>106</v>
      </c>
      <c r="G13" s="19">
        <f>H13+I13</f>
        <v>0</v>
      </c>
      <c r="H13" s="19"/>
      <c r="I13" s="19"/>
      <c r="J13" s="22"/>
      <c r="L13" s="10"/>
    </row>
    <row r="14" spans="1:12" ht="15.95" customHeight="1" x14ac:dyDescent="0.15">
      <c r="A14" s="293" t="s">
        <v>36</v>
      </c>
      <c r="B14" s="19" t="s">
        <v>128</v>
      </c>
      <c r="C14" s="19">
        <f t="shared" si="3"/>
        <v>2137</v>
      </c>
      <c r="D14" s="19">
        <f>173+500+225</f>
        <v>898</v>
      </c>
      <c r="E14" s="19">
        <f>279+496+159</f>
        <v>934</v>
      </c>
      <c r="F14" s="19">
        <f>36+143+126</f>
        <v>305</v>
      </c>
      <c r="G14" s="19">
        <f>SUM(H14:I14)</f>
        <v>71</v>
      </c>
      <c r="H14" s="19">
        <f>47</f>
        <v>47</v>
      </c>
      <c r="I14" s="19">
        <f>24</f>
        <v>24</v>
      </c>
      <c r="J14" s="22"/>
    </row>
    <row r="15" spans="1:12" ht="15.95" customHeight="1" x14ac:dyDescent="0.15">
      <c r="A15" s="293"/>
      <c r="B15" s="19" t="s">
        <v>70</v>
      </c>
      <c r="C15" s="19">
        <f t="shared" si="3"/>
        <v>2137</v>
      </c>
      <c r="D15" s="19">
        <f>173+500+225</f>
        <v>898</v>
      </c>
      <c r="E15" s="19">
        <f t="shared" ref="E15:E16" si="4">279+496+159</f>
        <v>934</v>
      </c>
      <c r="F15" s="19">
        <f t="shared" ref="F15:F16" si="5">36+143+126</f>
        <v>305</v>
      </c>
      <c r="G15" s="19">
        <f>SUM(H15:I15)</f>
        <v>71</v>
      </c>
      <c r="H15" s="19">
        <f>47</f>
        <v>47</v>
      </c>
      <c r="I15" s="19">
        <f>24</f>
        <v>24</v>
      </c>
      <c r="J15" s="22"/>
    </row>
    <row r="16" spans="1:12" ht="15.95" customHeight="1" x14ac:dyDescent="0.15">
      <c r="A16" s="293"/>
      <c r="B16" s="25" t="s">
        <v>198</v>
      </c>
      <c r="C16" s="19">
        <f t="shared" si="3"/>
        <v>12870</v>
      </c>
      <c r="D16" s="19">
        <f>1976+7064+2591</f>
        <v>11631</v>
      </c>
      <c r="E16" s="19">
        <f t="shared" si="4"/>
        <v>934</v>
      </c>
      <c r="F16" s="19">
        <f t="shared" si="5"/>
        <v>305</v>
      </c>
      <c r="G16" s="19">
        <f>SUM(H16:I16)</f>
        <v>20</v>
      </c>
      <c r="H16" s="19">
        <f>16</f>
        <v>16</v>
      </c>
      <c r="I16" s="19">
        <f>4</f>
        <v>4</v>
      </c>
      <c r="J16" s="22"/>
    </row>
    <row r="17" spans="1:10" ht="15.95" customHeight="1" x14ac:dyDescent="0.15">
      <c r="A17" s="293" t="s">
        <v>103</v>
      </c>
      <c r="B17" s="19" t="s">
        <v>128</v>
      </c>
      <c r="C17" s="19">
        <f t="shared" si="3"/>
        <v>297</v>
      </c>
      <c r="D17" s="19">
        <f>39+50</f>
        <v>89</v>
      </c>
      <c r="E17" s="19">
        <f>41+16</f>
        <v>57</v>
      </c>
      <c r="F17" s="19">
        <f>66+85</f>
        <v>151</v>
      </c>
      <c r="G17" s="19">
        <f t="shared" ref="G17:G43" si="6">SUM(H17:I17)</f>
        <v>128</v>
      </c>
      <c r="H17" s="19">
        <f>25+30</f>
        <v>55</v>
      </c>
      <c r="I17" s="19">
        <f>24+49</f>
        <v>73</v>
      </c>
      <c r="J17" s="22"/>
    </row>
    <row r="18" spans="1:10" ht="15.95" customHeight="1" x14ac:dyDescent="0.15">
      <c r="A18" s="293"/>
      <c r="B18" s="19" t="s">
        <v>70</v>
      </c>
      <c r="C18" s="19">
        <f t="shared" si="3"/>
        <v>870</v>
      </c>
      <c r="D18" s="19">
        <f>143+462</f>
        <v>605</v>
      </c>
      <c r="E18" s="19">
        <f>49+52</f>
        <v>101</v>
      </c>
      <c r="F18" s="19">
        <f>66+98</f>
        <v>164</v>
      </c>
      <c r="G18" s="19">
        <f t="shared" si="6"/>
        <v>128</v>
      </c>
      <c r="H18" s="19">
        <f>25+30</f>
        <v>55</v>
      </c>
      <c r="I18" s="19">
        <f>24+49</f>
        <v>73</v>
      </c>
      <c r="J18" s="22"/>
    </row>
    <row r="19" spans="1:10" ht="15.95" customHeight="1" x14ac:dyDescent="0.15">
      <c r="A19" s="293"/>
      <c r="B19" s="25" t="s">
        <v>198</v>
      </c>
      <c r="C19" s="19">
        <f t="shared" si="3"/>
        <v>6463</v>
      </c>
      <c r="D19" s="19">
        <f>1376+4822</f>
        <v>6198</v>
      </c>
      <c r="E19" s="19">
        <f>49+52</f>
        <v>101</v>
      </c>
      <c r="F19" s="19">
        <f>66+98</f>
        <v>164</v>
      </c>
      <c r="G19" s="19">
        <f t="shared" si="6"/>
        <v>17</v>
      </c>
      <c r="H19" s="19">
        <f>6+5</f>
        <v>11</v>
      </c>
      <c r="I19" s="19">
        <f>2+4</f>
        <v>6</v>
      </c>
      <c r="J19" s="22"/>
    </row>
    <row r="20" spans="1:10" ht="15.95" customHeight="1" x14ac:dyDescent="0.15">
      <c r="A20" s="293" t="s">
        <v>43</v>
      </c>
      <c r="B20" s="19" t="s">
        <v>128</v>
      </c>
      <c r="C20" s="19">
        <f t="shared" si="3"/>
        <v>82</v>
      </c>
      <c r="D20" s="19">
        <f>0+1</f>
        <v>1</v>
      </c>
      <c r="E20" s="19">
        <f>3+1</f>
        <v>4</v>
      </c>
      <c r="F20" s="19">
        <f>29+48</f>
        <v>77</v>
      </c>
      <c r="G20" s="19">
        <f t="shared" si="6"/>
        <v>175</v>
      </c>
      <c r="H20" s="19">
        <f>45+12</f>
        <v>57</v>
      </c>
      <c r="I20" s="19">
        <f>73+45</f>
        <v>118</v>
      </c>
      <c r="J20" s="22"/>
    </row>
    <row r="21" spans="1:10" ht="15.95" customHeight="1" x14ac:dyDescent="0.15">
      <c r="A21" s="293"/>
      <c r="B21" s="19" t="s">
        <v>70</v>
      </c>
      <c r="C21" s="19">
        <f t="shared" si="3"/>
        <v>942</v>
      </c>
      <c r="D21" s="19">
        <f>454+155</f>
        <v>609</v>
      </c>
      <c r="E21" s="19">
        <f>154+50</f>
        <v>204</v>
      </c>
      <c r="F21" s="19">
        <f>59+70</f>
        <v>129</v>
      </c>
      <c r="G21" s="19">
        <f t="shared" si="6"/>
        <v>175</v>
      </c>
      <c r="H21" s="19">
        <f>45+12</f>
        <v>57</v>
      </c>
      <c r="I21" s="19">
        <f>73+45</f>
        <v>118</v>
      </c>
      <c r="J21" s="22"/>
    </row>
    <row r="22" spans="1:10" ht="15.95" customHeight="1" x14ac:dyDescent="0.15">
      <c r="A22" s="293"/>
      <c r="B22" s="25" t="s">
        <v>198</v>
      </c>
      <c r="C22" s="19">
        <f t="shared" si="3"/>
        <v>6530</v>
      </c>
      <c r="D22" s="19">
        <f>4466+1731</f>
        <v>6197</v>
      </c>
      <c r="E22" s="19">
        <f>154+50</f>
        <v>204</v>
      </c>
      <c r="F22" s="19">
        <f>59+70</f>
        <v>129</v>
      </c>
      <c r="G22" s="19">
        <f t="shared" si="6"/>
        <v>26</v>
      </c>
      <c r="H22" s="19">
        <f>11+4</f>
        <v>15</v>
      </c>
      <c r="I22" s="19">
        <f>4+7</f>
        <v>11</v>
      </c>
      <c r="J22" s="22"/>
    </row>
    <row r="23" spans="1:10" ht="15.95" customHeight="1" x14ac:dyDescent="0.15">
      <c r="A23" s="293" t="s">
        <v>38</v>
      </c>
      <c r="B23" s="19" t="s">
        <v>128</v>
      </c>
      <c r="C23" s="19">
        <f t="shared" si="3"/>
        <v>183</v>
      </c>
      <c r="D23" s="19">
        <f>3+11</f>
        <v>14</v>
      </c>
      <c r="E23" s="19">
        <f>36+24</f>
        <v>60</v>
      </c>
      <c r="F23" s="19">
        <f>48+57+4</f>
        <v>109</v>
      </c>
      <c r="G23" s="19">
        <f t="shared" si="6"/>
        <v>180</v>
      </c>
      <c r="H23" s="19">
        <f>9+67+1</f>
        <v>77</v>
      </c>
      <c r="I23" s="19">
        <f>38+60+5</f>
        <v>103</v>
      </c>
      <c r="J23" s="22"/>
    </row>
    <row r="24" spans="1:10" ht="15.95" customHeight="1" x14ac:dyDescent="0.15">
      <c r="A24" s="293"/>
      <c r="B24" s="19" t="s">
        <v>70</v>
      </c>
      <c r="C24" s="19">
        <f t="shared" si="3"/>
        <v>912</v>
      </c>
      <c r="D24" s="19">
        <f>108+347+65</f>
        <v>520</v>
      </c>
      <c r="E24" s="19">
        <f>62+131+7</f>
        <v>200</v>
      </c>
      <c r="F24" s="19">
        <f>48+136+8</f>
        <v>192</v>
      </c>
      <c r="G24" s="19">
        <f t="shared" si="6"/>
        <v>202</v>
      </c>
      <c r="H24" s="19">
        <f>9+67+1</f>
        <v>77</v>
      </c>
      <c r="I24" s="19">
        <f>38+79+8</f>
        <v>125</v>
      </c>
      <c r="J24" s="22"/>
    </row>
    <row r="25" spans="1:10" ht="15.95" customHeight="1" x14ac:dyDescent="0.15">
      <c r="A25" s="293"/>
      <c r="B25" s="25" t="s">
        <v>198</v>
      </c>
      <c r="C25" s="19">
        <f t="shared" si="3"/>
        <v>6879</v>
      </c>
      <c r="D25" s="19">
        <f>1106+4804+577</f>
        <v>6487</v>
      </c>
      <c r="E25" s="19">
        <f>62+131+7</f>
        <v>200</v>
      </c>
      <c r="F25" s="19">
        <f>48+136+8</f>
        <v>192</v>
      </c>
      <c r="G25" s="19">
        <f t="shared" si="6"/>
        <v>39</v>
      </c>
      <c r="H25" s="19">
        <f>1+24</f>
        <v>25</v>
      </c>
      <c r="I25" s="19">
        <f>3+10+1</f>
        <v>14</v>
      </c>
      <c r="J25" s="22"/>
    </row>
    <row r="26" spans="1:10" ht="15.95" customHeight="1" x14ac:dyDescent="0.15">
      <c r="A26" s="293" t="s">
        <v>0</v>
      </c>
      <c r="B26" s="19" t="s">
        <v>128</v>
      </c>
      <c r="C26" s="19">
        <f t="shared" si="3"/>
        <v>108</v>
      </c>
      <c r="D26" s="19">
        <f>1+5</f>
        <v>6</v>
      </c>
      <c r="E26" s="19">
        <f>5+30</f>
        <v>35</v>
      </c>
      <c r="F26" s="19">
        <f>33+34</f>
        <v>67</v>
      </c>
      <c r="G26" s="19">
        <f t="shared" si="6"/>
        <v>124</v>
      </c>
      <c r="H26" s="19">
        <f>17+25</f>
        <v>42</v>
      </c>
      <c r="I26" s="19">
        <f>38+44</f>
        <v>82</v>
      </c>
      <c r="J26" s="22"/>
    </row>
    <row r="27" spans="1:10" ht="15.95" customHeight="1" x14ac:dyDescent="0.15">
      <c r="A27" s="293"/>
      <c r="B27" s="19" t="s">
        <v>70</v>
      </c>
      <c r="C27" s="19">
        <f t="shared" si="3"/>
        <v>777</v>
      </c>
      <c r="D27" s="19">
        <f>181+366</f>
        <v>547</v>
      </c>
      <c r="E27" s="19">
        <f>55+55</f>
        <v>110</v>
      </c>
      <c r="F27" s="19">
        <f>56+64</f>
        <v>120</v>
      </c>
      <c r="G27" s="19">
        <f t="shared" si="6"/>
        <v>154</v>
      </c>
      <c r="H27" s="19">
        <f>17+25</f>
        <v>42</v>
      </c>
      <c r="I27" s="19">
        <f>52+60</f>
        <v>112</v>
      </c>
      <c r="J27" s="22"/>
    </row>
    <row r="28" spans="1:10" ht="15.95" customHeight="1" x14ac:dyDescent="0.15">
      <c r="A28" s="293"/>
      <c r="B28" s="25" t="s">
        <v>198</v>
      </c>
      <c r="C28" s="19">
        <f t="shared" si="3"/>
        <v>5418</v>
      </c>
      <c r="D28" s="19">
        <f>1811+3377</f>
        <v>5188</v>
      </c>
      <c r="E28" s="19">
        <f>55+55</f>
        <v>110</v>
      </c>
      <c r="F28" s="19">
        <f>56+64</f>
        <v>120</v>
      </c>
      <c r="G28" s="19">
        <f t="shared" si="6"/>
        <v>22</v>
      </c>
      <c r="H28" s="19">
        <f>5+14</f>
        <v>19</v>
      </c>
      <c r="I28" s="19">
        <f>1+2</f>
        <v>3</v>
      </c>
      <c r="J28" s="22"/>
    </row>
    <row r="29" spans="1:10" ht="15.95" customHeight="1" x14ac:dyDescent="0.15">
      <c r="A29" s="293" t="s">
        <v>17</v>
      </c>
      <c r="B29" s="19" t="s">
        <v>128</v>
      </c>
      <c r="C29" s="19">
        <f t="shared" si="3"/>
        <v>57</v>
      </c>
      <c r="D29" s="19">
        <f>4</f>
        <v>4</v>
      </c>
      <c r="E29" s="19">
        <f>4</f>
        <v>4</v>
      </c>
      <c r="F29" s="19">
        <f>49</f>
        <v>49</v>
      </c>
      <c r="G29" s="19">
        <f t="shared" si="6"/>
        <v>0</v>
      </c>
      <c r="H29" s="19"/>
      <c r="I29" s="19"/>
      <c r="J29" s="22"/>
    </row>
    <row r="30" spans="1:10" ht="15.95" customHeight="1" x14ac:dyDescent="0.15">
      <c r="A30" s="293"/>
      <c r="B30" s="19" t="s">
        <v>70</v>
      </c>
      <c r="C30" s="19">
        <f t="shared" si="3"/>
        <v>757</v>
      </c>
      <c r="D30" s="19">
        <f>371</f>
        <v>371</v>
      </c>
      <c r="E30" s="19">
        <f>285</f>
        <v>285</v>
      </c>
      <c r="F30" s="19">
        <f>101</f>
        <v>101</v>
      </c>
      <c r="G30" s="19">
        <f t="shared" si="6"/>
        <v>0</v>
      </c>
      <c r="H30" s="19"/>
      <c r="I30" s="19"/>
      <c r="J30" s="22"/>
    </row>
    <row r="31" spans="1:10" ht="15.95" customHeight="1" x14ac:dyDescent="0.15">
      <c r="A31" s="293"/>
      <c r="B31" s="25" t="s">
        <v>198</v>
      </c>
      <c r="C31" s="19">
        <f t="shared" si="3"/>
        <v>4405</v>
      </c>
      <c r="D31" s="19">
        <f>4019</f>
        <v>4019</v>
      </c>
      <c r="E31" s="19">
        <f>285</f>
        <v>285</v>
      </c>
      <c r="F31" s="19">
        <f>101</f>
        <v>101</v>
      </c>
      <c r="G31" s="19">
        <f t="shared" si="6"/>
        <v>0</v>
      </c>
      <c r="H31" s="19"/>
      <c r="I31" s="19"/>
      <c r="J31" s="22"/>
    </row>
    <row r="32" spans="1:10" ht="15.95" customHeight="1" x14ac:dyDescent="0.15">
      <c r="A32" s="293" t="s">
        <v>66</v>
      </c>
      <c r="B32" s="19" t="s">
        <v>128</v>
      </c>
      <c r="C32" s="19">
        <f t="shared" si="3"/>
        <v>15</v>
      </c>
      <c r="D32" s="19">
        <f>0</f>
        <v>0</v>
      </c>
      <c r="E32" s="19">
        <f>11</f>
        <v>11</v>
      </c>
      <c r="F32" s="19">
        <f>4</f>
        <v>4</v>
      </c>
      <c r="G32" s="19">
        <f t="shared" si="6"/>
        <v>0</v>
      </c>
      <c r="H32" s="19"/>
      <c r="I32" s="19"/>
      <c r="J32" s="22"/>
    </row>
    <row r="33" spans="1:10" ht="15.95" customHeight="1" x14ac:dyDescent="0.15">
      <c r="A33" s="293"/>
      <c r="B33" s="19" t="s">
        <v>70</v>
      </c>
      <c r="C33" s="19">
        <f t="shared" si="3"/>
        <v>590</v>
      </c>
      <c r="D33" s="19">
        <f>196+63</f>
        <v>259</v>
      </c>
      <c r="E33" s="19">
        <f>259</f>
        <v>259</v>
      </c>
      <c r="F33" s="19">
        <f>72</f>
        <v>72</v>
      </c>
      <c r="G33" s="19">
        <f t="shared" si="6"/>
        <v>0</v>
      </c>
      <c r="H33" s="19"/>
      <c r="I33" s="19"/>
      <c r="J33" s="22"/>
    </row>
    <row r="34" spans="1:10" ht="15.95" customHeight="1" x14ac:dyDescent="0.15">
      <c r="A34" s="293"/>
      <c r="B34" s="25" t="s">
        <v>198</v>
      </c>
      <c r="C34" s="19">
        <f t="shared" si="3"/>
        <v>3927</v>
      </c>
      <c r="D34" s="19">
        <f>2708+888</f>
        <v>3596</v>
      </c>
      <c r="E34" s="19">
        <f>259</f>
        <v>259</v>
      </c>
      <c r="F34" s="19">
        <f>72</f>
        <v>72</v>
      </c>
      <c r="G34" s="19">
        <f t="shared" si="6"/>
        <v>0</v>
      </c>
      <c r="H34" s="19"/>
      <c r="I34" s="19"/>
      <c r="J34" s="22"/>
    </row>
    <row r="35" spans="1:10" ht="15.95" customHeight="1" x14ac:dyDescent="0.15">
      <c r="A35" s="293" t="s">
        <v>24</v>
      </c>
      <c r="B35" s="19" t="s">
        <v>128</v>
      </c>
      <c r="C35" s="19">
        <f t="shared" si="3"/>
        <v>57</v>
      </c>
      <c r="D35" s="19">
        <f>2</f>
        <v>2</v>
      </c>
      <c r="E35" s="19">
        <f>31+4</f>
        <v>35</v>
      </c>
      <c r="F35" s="19">
        <f>16+1+3</f>
        <v>20</v>
      </c>
      <c r="G35" s="19">
        <f t="shared" si="6"/>
        <v>100</v>
      </c>
      <c r="H35" s="19">
        <f>5+29+5</f>
        <v>39</v>
      </c>
      <c r="I35" s="19">
        <f>14+22+25</f>
        <v>61</v>
      </c>
      <c r="J35" s="22"/>
    </row>
    <row r="36" spans="1:10" ht="15.95" customHeight="1" x14ac:dyDescent="0.15">
      <c r="A36" s="293"/>
      <c r="B36" s="19" t="s">
        <v>70</v>
      </c>
      <c r="C36" s="19">
        <f t="shared" si="3"/>
        <v>1253</v>
      </c>
      <c r="D36" s="19">
        <f>208+346+225</f>
        <v>779</v>
      </c>
      <c r="E36" s="19">
        <f>87+103+83</f>
        <v>273</v>
      </c>
      <c r="F36" s="19">
        <f>69+88+44</f>
        <v>201</v>
      </c>
      <c r="G36" s="19">
        <f t="shared" si="6"/>
        <v>195</v>
      </c>
      <c r="H36" s="19">
        <f>5+29+5</f>
        <v>39</v>
      </c>
      <c r="I36" s="19">
        <f>35+71+50</f>
        <v>156</v>
      </c>
      <c r="J36" s="22"/>
    </row>
    <row r="37" spans="1:10" ht="15.95" customHeight="1" x14ac:dyDescent="0.15">
      <c r="A37" s="293"/>
      <c r="B37" s="25" t="s">
        <v>198</v>
      </c>
      <c r="C37" s="19">
        <f t="shared" si="3"/>
        <v>8619</v>
      </c>
      <c r="D37" s="19">
        <f>1590+4090+2465</f>
        <v>8145</v>
      </c>
      <c r="E37" s="19">
        <f>87+103+83</f>
        <v>273</v>
      </c>
      <c r="F37" s="19">
        <f>69+88+44</f>
        <v>201</v>
      </c>
      <c r="G37" s="19">
        <f t="shared" si="6"/>
        <v>17</v>
      </c>
      <c r="H37" s="19">
        <f>6</f>
        <v>6</v>
      </c>
      <c r="I37" s="19">
        <f>3+5+3</f>
        <v>11</v>
      </c>
      <c r="J37" s="22"/>
    </row>
    <row r="38" spans="1:10" ht="15.95" customHeight="1" x14ac:dyDescent="0.15">
      <c r="A38" s="293" t="s">
        <v>142</v>
      </c>
      <c r="B38" s="19" t="s">
        <v>128</v>
      </c>
      <c r="C38" s="19">
        <f t="shared" si="3"/>
        <v>104</v>
      </c>
      <c r="D38" s="19">
        <f>2+1+3</f>
        <v>6</v>
      </c>
      <c r="E38" s="19">
        <f>1+36+2</f>
        <v>39</v>
      </c>
      <c r="F38" s="19">
        <f>22+37</f>
        <v>59</v>
      </c>
      <c r="G38" s="19">
        <f t="shared" si="6"/>
        <v>220</v>
      </c>
      <c r="H38" s="19">
        <f>16+33+27</f>
        <v>76</v>
      </c>
      <c r="I38" s="19">
        <f>39+87+18</f>
        <v>144</v>
      </c>
      <c r="J38" s="22"/>
    </row>
    <row r="39" spans="1:10" ht="15.95" customHeight="1" x14ac:dyDescent="0.15">
      <c r="A39" s="293"/>
      <c r="B39" s="19" t="s">
        <v>70</v>
      </c>
      <c r="C39" s="19">
        <f t="shared" si="3"/>
        <v>1102</v>
      </c>
      <c r="D39" s="19">
        <f>258+229+167</f>
        <v>654</v>
      </c>
      <c r="E39" s="19">
        <f>102+101+50</f>
        <v>253</v>
      </c>
      <c r="F39" s="19">
        <f>60+82+53</f>
        <v>195</v>
      </c>
      <c r="G39" s="19">
        <f t="shared" si="6"/>
        <v>296</v>
      </c>
      <c r="H39" s="19">
        <f>16+33+27</f>
        <v>76</v>
      </c>
      <c r="I39" s="19">
        <f>66+106+48</f>
        <v>220</v>
      </c>
      <c r="J39" s="22"/>
    </row>
    <row r="40" spans="1:10" ht="15.95" customHeight="1" x14ac:dyDescent="0.15">
      <c r="A40" s="293"/>
      <c r="B40" s="25" t="s">
        <v>198</v>
      </c>
      <c r="C40" s="19">
        <f t="shared" si="3"/>
        <v>7229</v>
      </c>
      <c r="D40" s="19">
        <f>2433+2436+1912</f>
        <v>6781</v>
      </c>
      <c r="E40" s="19">
        <f>102+101+50</f>
        <v>253</v>
      </c>
      <c r="F40" s="19">
        <f>60+82+53</f>
        <v>195</v>
      </c>
      <c r="G40" s="19">
        <f t="shared" si="6"/>
        <v>29</v>
      </c>
      <c r="H40" s="19">
        <f>2+6+4</f>
        <v>12</v>
      </c>
      <c r="I40" s="19">
        <f>3+8+6</f>
        <v>17</v>
      </c>
      <c r="J40" s="22"/>
    </row>
    <row r="41" spans="1:10" ht="15.95" customHeight="1" x14ac:dyDescent="0.15">
      <c r="A41" s="293" t="s">
        <v>85</v>
      </c>
      <c r="B41" s="19" t="s">
        <v>128</v>
      </c>
      <c r="C41" s="19">
        <f t="shared" si="3"/>
        <v>97</v>
      </c>
      <c r="D41" s="19">
        <f>2+3+1</f>
        <v>6</v>
      </c>
      <c r="E41" s="19">
        <f>2+2+1</f>
        <v>5</v>
      </c>
      <c r="F41" s="19">
        <f>2+66+18</f>
        <v>86</v>
      </c>
      <c r="G41" s="19">
        <f t="shared" si="6"/>
        <v>99</v>
      </c>
      <c r="H41" s="19">
        <f>28+20+11</f>
        <v>59</v>
      </c>
      <c r="I41" s="19">
        <f>4+36</f>
        <v>40</v>
      </c>
      <c r="J41" s="22"/>
    </row>
    <row r="42" spans="1:10" ht="15.95" customHeight="1" x14ac:dyDescent="0.15">
      <c r="A42" s="293"/>
      <c r="B42" s="19" t="s">
        <v>70</v>
      </c>
      <c r="C42" s="19">
        <f t="shared" si="3"/>
        <v>863</v>
      </c>
      <c r="D42" s="19">
        <f>96+268+73</f>
        <v>437</v>
      </c>
      <c r="E42" s="19">
        <f>30+133+13</f>
        <v>176</v>
      </c>
      <c r="F42" s="19">
        <f>27+160+63</f>
        <v>250</v>
      </c>
      <c r="G42" s="19">
        <f t="shared" si="6"/>
        <v>135</v>
      </c>
      <c r="H42" s="19">
        <f>28+20+11</f>
        <v>59</v>
      </c>
      <c r="I42" s="19">
        <f>20+56</f>
        <v>76</v>
      </c>
      <c r="J42" s="22"/>
    </row>
    <row r="43" spans="1:10" ht="15.95" customHeight="1" x14ac:dyDescent="0.15">
      <c r="A43" s="302"/>
      <c r="B43" s="26" t="s">
        <v>198</v>
      </c>
      <c r="C43" s="27">
        <f t="shared" si="3"/>
        <v>5457</v>
      </c>
      <c r="D43" s="27">
        <f>1162+3176+693</f>
        <v>5031</v>
      </c>
      <c r="E43" s="27">
        <f>30+133+13</f>
        <v>176</v>
      </c>
      <c r="F43" s="27">
        <f>27+160+63</f>
        <v>250</v>
      </c>
      <c r="G43" s="27">
        <f t="shared" si="6"/>
        <v>25</v>
      </c>
      <c r="H43" s="27">
        <f>16+3+2</f>
        <v>21</v>
      </c>
      <c r="I43" s="27">
        <f>2+2</f>
        <v>4</v>
      </c>
      <c r="J43" s="28"/>
    </row>
    <row r="44" spans="1:10" x14ac:dyDescent="0.15">
      <c r="A44" s="18"/>
      <c r="B44" s="18"/>
    </row>
  </sheetData>
  <mergeCells count="18">
    <mergeCell ref="A41:A4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8:A10"/>
    <mergeCell ref="A11:A13"/>
    <mergeCell ref="G3:I3"/>
    <mergeCell ref="J3:J4"/>
    <mergeCell ref="A5:A7"/>
    <mergeCell ref="B3:B4"/>
    <mergeCell ref="C3:F3"/>
    <mergeCell ref="A3:A4"/>
  </mergeCells>
  <phoneticPr fontId="23" type="noConversion"/>
  <pageMargins left="0.67000001668930054" right="0.41972222924232483" top="0.67000001668930054" bottom="0.60000002384185791" header="0.5" footer="0.5"/>
  <pageSetup paperSize="9" orientation="portrait" horizontalDpi="4294967293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zoomScaleSheetLayoutView="75" workbookViewId="0"/>
  </sheetViews>
  <sheetFormatPr defaultColWidth="8.88671875" defaultRowHeight="13.5" x14ac:dyDescent="0.15"/>
  <sheetData/>
  <phoneticPr fontId="23" type="noConversion"/>
  <printOptions gridLines="1"/>
  <pageMargins left="0.75" right="0.75" top="1" bottom="1" header="0.5" footer="0.5"/>
  <pageSetup paperSize="9" fitToWidth="0" fitToHeight="0" orientation="portrait"/>
  <headerFooter>
    <oddHeader>&amp;C&amp;"돋움,Regular"&amp;A</oddHeader>
    <oddFooter>&amp;C&amp;"돋움,Regular"-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6DAF1"/>
  </sheetPr>
  <dimension ref="A1:J26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E14" sqref="E14"/>
    </sheetView>
  </sheetViews>
  <sheetFormatPr defaultColWidth="8.88671875" defaultRowHeight="13.5" x14ac:dyDescent="0.15"/>
  <cols>
    <col min="1" max="1" width="7.109375" style="7" customWidth="1"/>
    <col min="2" max="2" width="8.88671875" style="7" customWidth="1"/>
    <col min="3" max="3" width="9.33203125" style="7" customWidth="1"/>
    <col min="4" max="7" width="8.6640625" style="7" customWidth="1"/>
    <col min="8" max="9" width="8" style="7" customWidth="1"/>
    <col min="10" max="10" width="5.109375" style="7" customWidth="1"/>
    <col min="11" max="16384" width="8.88671875" style="7"/>
  </cols>
  <sheetData>
    <row r="1" spans="1:10" ht="30" customHeight="1" x14ac:dyDescent="0.3">
      <c r="A1" s="3" t="s">
        <v>166</v>
      </c>
      <c r="B1" s="3"/>
      <c r="C1" s="3"/>
      <c r="D1" s="3"/>
      <c r="E1" s="1"/>
      <c r="F1" s="1"/>
      <c r="G1" s="1"/>
    </row>
    <row r="2" spans="1:10" ht="24" customHeight="1" x14ac:dyDescent="0.15"/>
    <row r="3" spans="1:10" ht="33.75" customHeight="1" x14ac:dyDescent="0.15">
      <c r="A3" s="300" t="s">
        <v>240</v>
      </c>
      <c r="B3" s="294"/>
      <c r="C3" s="294" t="s">
        <v>227</v>
      </c>
      <c r="D3" s="294"/>
      <c r="E3" s="294"/>
      <c r="F3" s="294"/>
      <c r="G3" s="294" t="s">
        <v>232</v>
      </c>
      <c r="H3" s="294"/>
      <c r="I3" s="294"/>
      <c r="J3" s="295" t="s">
        <v>193</v>
      </c>
    </row>
    <row r="4" spans="1:10" ht="38.25" customHeight="1" x14ac:dyDescent="0.15">
      <c r="A4" s="301"/>
      <c r="B4" s="299"/>
      <c r="C4" s="41" t="s">
        <v>37</v>
      </c>
      <c r="D4" s="41" t="s">
        <v>88</v>
      </c>
      <c r="E4" s="41" t="s">
        <v>109</v>
      </c>
      <c r="F4" s="41" t="s">
        <v>147</v>
      </c>
      <c r="G4" s="41" t="s">
        <v>120</v>
      </c>
      <c r="H4" s="42" t="s">
        <v>153</v>
      </c>
      <c r="I4" s="41" t="s">
        <v>229</v>
      </c>
      <c r="J4" s="296"/>
    </row>
    <row r="5" spans="1:10" ht="24.95" customHeight="1" x14ac:dyDescent="0.15">
      <c r="A5" s="297" t="s">
        <v>37</v>
      </c>
      <c r="B5" s="43" t="s">
        <v>128</v>
      </c>
      <c r="C5" s="44">
        <f>SUM(D5:F5)</f>
        <v>4200</v>
      </c>
      <c r="D5" s="44">
        <f>SUM(D8,D11,D14,D17,D20,D23)</f>
        <v>1586</v>
      </c>
      <c r="E5" s="44">
        <f t="shared" ref="E5:F5" si="0">SUM(E8,E11,E14,E17,E20,E23)</f>
        <v>1581</v>
      </c>
      <c r="F5" s="44">
        <f t="shared" si="0"/>
        <v>1033</v>
      </c>
      <c r="G5" s="43">
        <f>SUM(H5:I5)</f>
        <v>1097</v>
      </c>
      <c r="H5" s="43">
        <f t="shared" ref="H5:I7" si="1">SUM(H8,H11,H14,H17,H20,H23)</f>
        <v>452</v>
      </c>
      <c r="I5" s="43">
        <f t="shared" si="1"/>
        <v>645</v>
      </c>
      <c r="J5" s="45"/>
    </row>
    <row r="6" spans="1:10" ht="24.95" customHeight="1" x14ac:dyDescent="0.15">
      <c r="A6" s="293"/>
      <c r="B6" s="19" t="s">
        <v>70</v>
      </c>
      <c r="C6" s="19">
        <f>SUM(D6:F6)</f>
        <v>11266</v>
      </c>
      <c r="D6" s="32">
        <f>SUM(D9,D12,D15,D18,D21,D24)</f>
        <v>6239</v>
      </c>
      <c r="E6" s="32">
        <f t="shared" ref="E6:F6" si="2">SUM(E9,E12,E15,E18,E21,E24)</f>
        <v>3192</v>
      </c>
      <c r="F6" s="32">
        <f t="shared" si="2"/>
        <v>1835</v>
      </c>
      <c r="G6" s="19">
        <f>SUM(H6:I6)</f>
        <v>1356</v>
      </c>
      <c r="H6" s="19">
        <f t="shared" si="1"/>
        <v>452</v>
      </c>
      <c r="I6" s="19">
        <f t="shared" si="1"/>
        <v>904</v>
      </c>
      <c r="J6" s="22"/>
    </row>
    <row r="7" spans="1:10" ht="24.95" customHeight="1" x14ac:dyDescent="0.15">
      <c r="A7" s="298"/>
      <c r="B7" s="90" t="s">
        <v>177</v>
      </c>
      <c r="C7" s="82">
        <f>SUM(D7,E7,F7)</f>
        <v>74020</v>
      </c>
      <c r="D7" s="32">
        <f>SUM(D10,D13,D16,D19,D22,D25)</f>
        <v>68993</v>
      </c>
      <c r="E7" s="32">
        <f t="shared" ref="E7:F7" si="3">SUM(E10,E13,E16,E19,E22,E25)</f>
        <v>3192</v>
      </c>
      <c r="F7" s="32">
        <f t="shared" si="3"/>
        <v>1835</v>
      </c>
      <c r="G7" s="82">
        <f>H7+I7</f>
        <v>195</v>
      </c>
      <c r="H7" s="19">
        <f t="shared" si="1"/>
        <v>125</v>
      </c>
      <c r="I7" s="19">
        <f t="shared" si="1"/>
        <v>70</v>
      </c>
      <c r="J7" s="91"/>
    </row>
    <row r="8" spans="1:10" ht="24.95" customHeight="1" x14ac:dyDescent="0.15">
      <c r="A8" s="303" t="s">
        <v>29</v>
      </c>
      <c r="B8" s="88" t="s">
        <v>128</v>
      </c>
      <c r="C8" s="92">
        <f>SUM(D8:F8)</f>
        <v>852</v>
      </c>
      <c r="D8" s="92">
        <f>'질환별(의과)'!C8</f>
        <v>325</v>
      </c>
      <c r="E8" s="92">
        <f>'질환별(한방)'!C8</f>
        <v>273</v>
      </c>
      <c r="F8" s="92">
        <f>'질환별(치과)'!C8</f>
        <v>254</v>
      </c>
      <c r="G8" s="93">
        <f>SUM(H8:I8)</f>
        <v>142</v>
      </c>
      <c r="H8" s="93">
        <f>8+3+7+16+11</f>
        <v>45</v>
      </c>
      <c r="I8" s="93">
        <f>18+8+16+9+10+36</f>
        <v>97</v>
      </c>
      <c r="J8" s="94"/>
    </row>
    <row r="9" spans="1:10" ht="24.95" customHeight="1" x14ac:dyDescent="0.15">
      <c r="A9" s="293"/>
      <c r="B9" s="19" t="s">
        <v>70</v>
      </c>
      <c r="C9" s="34">
        <f t="shared" ref="C9:C25" si="4">SUM(D9:F9)</f>
        <v>2170</v>
      </c>
      <c r="D9" s="34">
        <f>'질환별(의과)'!C9</f>
        <v>1191</v>
      </c>
      <c r="E9" s="34">
        <f>'질환별(한방)'!C9</f>
        <v>571</v>
      </c>
      <c r="F9" s="34">
        <f>'질환별(치과)'!C9</f>
        <v>408</v>
      </c>
      <c r="G9" s="35">
        <f>SUM(H9:I9)</f>
        <v>170</v>
      </c>
      <c r="H9" s="35">
        <f>8+3+7+16+11</f>
        <v>45</v>
      </c>
      <c r="I9" s="35">
        <f>18+8+16+18+10+17+38</f>
        <v>125</v>
      </c>
      <c r="J9" s="36"/>
    </row>
    <row r="10" spans="1:10" ht="24.95" customHeight="1" x14ac:dyDescent="0.15">
      <c r="A10" s="293"/>
      <c r="B10" s="33" t="s">
        <v>177</v>
      </c>
      <c r="C10" s="34">
        <f t="shared" si="4"/>
        <v>13267</v>
      </c>
      <c r="D10" s="34">
        <f>'질환별(의과)'!C10</f>
        <v>12288</v>
      </c>
      <c r="E10" s="34">
        <f>'질환별(한방)'!C10</f>
        <v>571</v>
      </c>
      <c r="F10" s="34">
        <f>'질환별(치과)'!C10</f>
        <v>408</v>
      </c>
      <c r="G10" s="37">
        <f>SUM(H10:I10)</f>
        <v>19</v>
      </c>
      <c r="H10" s="37">
        <f>3+1+3+3+2</f>
        <v>12</v>
      </c>
      <c r="I10" s="37">
        <f>2+0+1+1+1+2</f>
        <v>7</v>
      </c>
      <c r="J10" s="36"/>
    </row>
    <row r="11" spans="1:10" ht="24.95" customHeight="1" x14ac:dyDescent="0.15">
      <c r="A11" s="293" t="s">
        <v>55</v>
      </c>
      <c r="B11" s="19" t="s">
        <v>128</v>
      </c>
      <c r="C11" s="34">
        <f t="shared" si="4"/>
        <v>60</v>
      </c>
      <c r="D11" s="34">
        <f>'질환별(의과)'!C11</f>
        <v>20</v>
      </c>
      <c r="E11" s="34">
        <f>'질환별(한방)'!C11</f>
        <v>22</v>
      </c>
      <c r="F11" s="34">
        <f>'질환별(치과)'!C11</f>
        <v>18</v>
      </c>
      <c r="G11" s="35">
        <f t="shared" ref="G11:G23" si="5">SUM(H11:I11)</f>
        <v>26</v>
      </c>
      <c r="H11" s="35">
        <f>8+11</f>
        <v>19</v>
      </c>
      <c r="I11" s="35">
        <f>4+3</f>
        <v>7</v>
      </c>
      <c r="J11" s="22"/>
    </row>
    <row r="12" spans="1:10" ht="24.95" customHeight="1" x14ac:dyDescent="0.15">
      <c r="A12" s="293"/>
      <c r="B12" s="19" t="s">
        <v>70</v>
      </c>
      <c r="C12" s="34">
        <f t="shared" si="4"/>
        <v>269</v>
      </c>
      <c r="D12" s="34">
        <f>'질환별(의과)'!C12</f>
        <v>170</v>
      </c>
      <c r="E12" s="34">
        <f>'질환별(한방)'!C12</f>
        <v>70</v>
      </c>
      <c r="F12" s="34">
        <f>'질환별(치과)'!C12</f>
        <v>29</v>
      </c>
      <c r="G12" s="35">
        <f t="shared" ref="G12:G19" si="6">SUM(H12:I12)</f>
        <v>30</v>
      </c>
      <c r="H12" s="35">
        <f>8+11</f>
        <v>19</v>
      </c>
      <c r="I12" s="35">
        <f>4+7</f>
        <v>11</v>
      </c>
      <c r="J12" s="22"/>
    </row>
    <row r="13" spans="1:10" ht="24.95" customHeight="1" x14ac:dyDescent="0.15">
      <c r="A13" s="293"/>
      <c r="B13" s="33" t="s">
        <v>177</v>
      </c>
      <c r="C13" s="34">
        <f t="shared" si="4"/>
        <v>1546</v>
      </c>
      <c r="D13" s="34">
        <f>'질환별(의과)'!C13</f>
        <v>1447</v>
      </c>
      <c r="E13" s="34">
        <f>'질환별(한방)'!C13</f>
        <v>70</v>
      </c>
      <c r="F13" s="34">
        <f>'질환별(치과)'!C13</f>
        <v>29</v>
      </c>
      <c r="G13" s="37">
        <f t="shared" si="6"/>
        <v>4</v>
      </c>
      <c r="H13" s="37">
        <f>0+2</f>
        <v>2</v>
      </c>
      <c r="I13" s="37">
        <f>2</f>
        <v>2</v>
      </c>
      <c r="J13" s="22"/>
    </row>
    <row r="14" spans="1:10" ht="24.95" customHeight="1" x14ac:dyDescent="0.15">
      <c r="A14" s="293" t="s">
        <v>116</v>
      </c>
      <c r="B14" s="19" t="s">
        <v>128</v>
      </c>
      <c r="C14" s="34">
        <f t="shared" si="4"/>
        <v>114</v>
      </c>
      <c r="D14" s="34">
        <f>'질환별(의과)'!C14</f>
        <v>45</v>
      </c>
      <c r="E14" s="34">
        <f>'질환별(한방)'!C14</f>
        <v>44</v>
      </c>
      <c r="F14" s="34">
        <f>'질환별(치과)'!C14</f>
        <v>25</v>
      </c>
      <c r="G14" s="35">
        <f t="shared" si="5"/>
        <v>15</v>
      </c>
      <c r="H14" s="35"/>
      <c r="I14" s="35">
        <f>5+10</f>
        <v>15</v>
      </c>
      <c r="J14" s="22"/>
    </row>
    <row r="15" spans="1:10" ht="24.95" customHeight="1" x14ac:dyDescent="0.15">
      <c r="A15" s="293"/>
      <c r="B15" s="19" t="s">
        <v>70</v>
      </c>
      <c r="C15" s="34">
        <f t="shared" si="4"/>
        <v>277</v>
      </c>
      <c r="D15" s="34">
        <f>'질환별(의과)'!C15</f>
        <v>176</v>
      </c>
      <c r="E15" s="34">
        <f>'질환별(한방)'!C15</f>
        <v>70</v>
      </c>
      <c r="F15" s="34">
        <f>'질환별(치과)'!C15</f>
        <v>31</v>
      </c>
      <c r="G15" s="35">
        <f t="shared" si="6"/>
        <v>15</v>
      </c>
      <c r="H15" s="35"/>
      <c r="I15" s="35">
        <f>5+10</f>
        <v>15</v>
      </c>
      <c r="J15" s="22"/>
    </row>
    <row r="16" spans="1:10" ht="24.95" customHeight="1" x14ac:dyDescent="0.15">
      <c r="A16" s="293"/>
      <c r="B16" s="33" t="s">
        <v>177</v>
      </c>
      <c r="C16" s="34">
        <f t="shared" si="4"/>
        <v>1951</v>
      </c>
      <c r="D16" s="34">
        <f>'질환별(의과)'!C16</f>
        <v>1850</v>
      </c>
      <c r="E16" s="34">
        <f>'질환별(한방)'!C16</f>
        <v>70</v>
      </c>
      <c r="F16" s="34">
        <f>'질환별(치과)'!C16</f>
        <v>31</v>
      </c>
      <c r="G16" s="37">
        <f t="shared" si="6"/>
        <v>0</v>
      </c>
      <c r="H16" s="35"/>
      <c r="I16" s="35">
        <f>0</f>
        <v>0</v>
      </c>
      <c r="J16" s="22"/>
    </row>
    <row r="17" spans="1:10" ht="24.95" customHeight="1" x14ac:dyDescent="0.15">
      <c r="A17" s="298" t="s">
        <v>5</v>
      </c>
      <c r="B17" s="19" t="s">
        <v>128</v>
      </c>
      <c r="C17" s="34">
        <f t="shared" si="4"/>
        <v>1112</v>
      </c>
      <c r="D17" s="34">
        <f>'질환별(의과)'!C17</f>
        <v>452</v>
      </c>
      <c r="E17" s="34">
        <f>'질환별(한방)'!C17</f>
        <v>377</v>
      </c>
      <c r="F17" s="34">
        <f>'질환별(치과)'!C17</f>
        <v>283</v>
      </c>
      <c r="G17" s="35">
        <f t="shared" si="5"/>
        <v>384</v>
      </c>
      <c r="H17" s="35">
        <f>33+7+9+20+4+29+14+25+2</f>
        <v>143</v>
      </c>
      <c r="I17" s="35">
        <f>21+28+18+38+15+26+16+13+51+15</f>
        <v>241</v>
      </c>
      <c r="J17" s="22"/>
    </row>
    <row r="18" spans="1:10" ht="24.95" customHeight="1" x14ac:dyDescent="0.15">
      <c r="A18" s="304"/>
      <c r="B18" s="19" t="s">
        <v>70</v>
      </c>
      <c r="C18" s="34">
        <f t="shared" si="4"/>
        <v>3333</v>
      </c>
      <c r="D18" s="34">
        <f>'질환별(의과)'!C18</f>
        <v>1794</v>
      </c>
      <c r="E18" s="34">
        <f>'질환별(한방)'!C18</f>
        <v>999</v>
      </c>
      <c r="F18" s="34">
        <f>'질환별(치과)'!C18</f>
        <v>540</v>
      </c>
      <c r="G18" s="35">
        <f t="shared" si="6"/>
        <v>448</v>
      </c>
      <c r="H18" s="35">
        <f>33+7+9+20+4+29+14+25+2</f>
        <v>143</v>
      </c>
      <c r="I18" s="35">
        <f>21+28+18+38+26+27+42+13+56+36</f>
        <v>305</v>
      </c>
      <c r="J18" s="22"/>
    </row>
    <row r="19" spans="1:10" ht="24.95" customHeight="1" x14ac:dyDescent="0.15">
      <c r="A19" s="305"/>
      <c r="B19" s="33" t="s">
        <v>177</v>
      </c>
      <c r="C19" s="34">
        <f t="shared" si="4"/>
        <v>22316</v>
      </c>
      <c r="D19" s="34">
        <f>'질환별(의과)'!C19</f>
        <v>20777</v>
      </c>
      <c r="E19" s="34">
        <f>'질환별(한방)'!C19</f>
        <v>999</v>
      </c>
      <c r="F19" s="34">
        <f>'질환별(치과)'!C19</f>
        <v>540</v>
      </c>
      <c r="G19" s="37">
        <f t="shared" si="6"/>
        <v>73</v>
      </c>
      <c r="H19" s="35">
        <f>15+1+1+9+1+6+11</f>
        <v>44</v>
      </c>
      <c r="I19" s="35">
        <f>3+2+2+3+5+0+5+5+4</f>
        <v>29</v>
      </c>
      <c r="J19" s="22"/>
    </row>
    <row r="20" spans="1:10" ht="24.95" customHeight="1" x14ac:dyDescent="0.15">
      <c r="A20" s="293" t="s">
        <v>13</v>
      </c>
      <c r="B20" s="19" t="s">
        <v>128</v>
      </c>
      <c r="C20" s="34">
        <f t="shared" si="4"/>
        <v>1815</v>
      </c>
      <c r="D20" s="34">
        <f>'질환별(의과)'!C20</f>
        <v>631</v>
      </c>
      <c r="E20" s="34">
        <f>'질환별(한방)'!C20</f>
        <v>754</v>
      </c>
      <c r="F20" s="34">
        <f>'질환별(치과)'!C20</f>
        <v>430</v>
      </c>
      <c r="G20" s="35">
        <f t="shared" si="5"/>
        <v>497</v>
      </c>
      <c r="H20" s="35">
        <f>39+22+38+12+39+15+9+5+10+19+30+2</f>
        <v>240</v>
      </c>
      <c r="I20" s="35">
        <f>27+3+42+29+41+34+3+14+6+15+36+7</f>
        <v>257</v>
      </c>
      <c r="J20" s="22"/>
    </row>
    <row r="21" spans="1:10" ht="24.95" customHeight="1" x14ac:dyDescent="0.15">
      <c r="A21" s="293"/>
      <c r="B21" s="19" t="s">
        <v>70</v>
      </c>
      <c r="C21" s="34">
        <f t="shared" si="4"/>
        <v>4590</v>
      </c>
      <c r="D21" s="34">
        <f>'질환별(의과)'!C21</f>
        <v>2462</v>
      </c>
      <c r="E21" s="34">
        <f>'질환별(한방)'!C21</f>
        <v>1332</v>
      </c>
      <c r="F21" s="34">
        <f>'질환별(치과)'!C21</f>
        <v>796</v>
      </c>
      <c r="G21" s="35">
        <f>SUM(H21:I21)</f>
        <v>659</v>
      </c>
      <c r="H21" s="35">
        <f>39+22+38+12+39+15+9+5+10+19+30+2</f>
        <v>240</v>
      </c>
      <c r="I21" s="35">
        <f>27+3+42+29+49+42+18+35+29+45+50+32+18</f>
        <v>419</v>
      </c>
      <c r="J21" s="22"/>
    </row>
    <row r="22" spans="1:10" ht="24.95" customHeight="1" x14ac:dyDescent="0.15">
      <c r="A22" s="293"/>
      <c r="B22" s="33" t="s">
        <v>177</v>
      </c>
      <c r="C22" s="34">
        <f t="shared" si="4"/>
        <v>30993</v>
      </c>
      <c r="D22" s="34">
        <f>'질환별(의과)'!C22</f>
        <v>28865</v>
      </c>
      <c r="E22" s="34">
        <f>'질환별(한방)'!C22</f>
        <v>1332</v>
      </c>
      <c r="F22" s="34">
        <f>'질환별(치과)'!C22</f>
        <v>796</v>
      </c>
      <c r="G22" s="35">
        <f>SUM(H22:I22)</f>
        <v>95</v>
      </c>
      <c r="H22" s="35">
        <f>7+2+10+4+15+4+6+6+9</f>
        <v>63</v>
      </c>
      <c r="I22" s="35">
        <f>3+2+6+5+1+1+3+4+3+4</f>
        <v>32</v>
      </c>
      <c r="J22" s="22"/>
    </row>
    <row r="23" spans="1:10" ht="24.95" customHeight="1" x14ac:dyDescent="0.15">
      <c r="A23" s="293" t="s">
        <v>95</v>
      </c>
      <c r="B23" s="19" t="s">
        <v>128</v>
      </c>
      <c r="C23" s="34">
        <f t="shared" si="4"/>
        <v>247</v>
      </c>
      <c r="D23" s="34">
        <f>'질환별(의과)'!C23</f>
        <v>113</v>
      </c>
      <c r="E23" s="34">
        <f>'질환별(한방)'!C23</f>
        <v>111</v>
      </c>
      <c r="F23" s="34">
        <f>'질환별(치과)'!C23</f>
        <v>23</v>
      </c>
      <c r="G23" s="35">
        <f t="shared" si="5"/>
        <v>33</v>
      </c>
      <c r="H23" s="35">
        <f>5</f>
        <v>5</v>
      </c>
      <c r="I23" s="35">
        <f>5+23</f>
        <v>28</v>
      </c>
      <c r="J23" s="22"/>
    </row>
    <row r="24" spans="1:10" ht="24.95" customHeight="1" x14ac:dyDescent="0.15">
      <c r="A24" s="293"/>
      <c r="B24" s="19" t="s">
        <v>70</v>
      </c>
      <c r="C24" s="34">
        <f t="shared" si="4"/>
        <v>627</v>
      </c>
      <c r="D24" s="34">
        <f>'질환별(의과)'!C24</f>
        <v>446</v>
      </c>
      <c r="E24" s="34">
        <f>'질환별(한방)'!C24</f>
        <v>150</v>
      </c>
      <c r="F24" s="34">
        <f>'질환별(치과)'!C24</f>
        <v>31</v>
      </c>
      <c r="G24" s="35">
        <f t="shared" ref="G24:G25" si="7">SUM(H24:I24)</f>
        <v>34</v>
      </c>
      <c r="H24" s="35">
        <f>5</f>
        <v>5</v>
      </c>
      <c r="I24" s="35">
        <f>5+24</f>
        <v>29</v>
      </c>
      <c r="J24" s="22"/>
    </row>
    <row r="25" spans="1:10" ht="24.95" customHeight="1" x14ac:dyDescent="0.15">
      <c r="A25" s="302"/>
      <c r="B25" s="38" t="s">
        <v>177</v>
      </c>
      <c r="C25" s="39">
        <f t="shared" si="4"/>
        <v>3947</v>
      </c>
      <c r="D25" s="39">
        <f>'질환별(의과)'!C25</f>
        <v>3766</v>
      </c>
      <c r="E25" s="39">
        <f>'질환별(한방)'!C25</f>
        <v>150</v>
      </c>
      <c r="F25" s="39">
        <f>'질환별(치과)'!C25</f>
        <v>31</v>
      </c>
      <c r="G25" s="40">
        <f t="shared" si="7"/>
        <v>4</v>
      </c>
      <c r="H25" s="40">
        <f>4</f>
        <v>4</v>
      </c>
      <c r="I25" s="40">
        <f>0</f>
        <v>0</v>
      </c>
      <c r="J25" s="28"/>
    </row>
    <row r="26" spans="1:10" x14ac:dyDescent="0.15">
      <c r="C26" s="9"/>
      <c r="D26" s="15"/>
    </row>
  </sheetData>
  <mergeCells count="11">
    <mergeCell ref="A23:A25"/>
    <mergeCell ref="G3:I3"/>
    <mergeCell ref="J3:J4"/>
    <mergeCell ref="C3:F3"/>
    <mergeCell ref="A3:B4"/>
    <mergeCell ref="A5:A7"/>
    <mergeCell ref="A8:A10"/>
    <mergeCell ref="A11:A13"/>
    <mergeCell ref="A14:A16"/>
    <mergeCell ref="A20:A22"/>
    <mergeCell ref="A17:A19"/>
  </mergeCells>
  <phoneticPr fontId="23" type="noConversion"/>
  <pageMargins left="0.51138889789581299" right="0.35430556535720825" top="0.98416668176651001" bottom="0.74750000238418579" header="0.51138889789581299" footer="0.51138889789581299"/>
  <pageSetup paperSize="9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6DAF1"/>
  </sheetPr>
  <dimension ref="A1:L25"/>
  <sheetViews>
    <sheetView zoomScaleNormal="100" zoomScaleSheetLayoutView="75" workbookViewId="0">
      <pane xSplit="2" ySplit="4" topLeftCell="C5" activePane="bottomRight" state="frozen"/>
      <selection pane="topRight"/>
      <selection pane="bottomLeft"/>
      <selection pane="bottomRight" activeCell="Q10" sqref="Q10"/>
    </sheetView>
  </sheetViews>
  <sheetFormatPr defaultColWidth="8.88671875" defaultRowHeight="13.5" x14ac:dyDescent="0.15"/>
  <cols>
    <col min="1" max="1" width="6.109375" style="7" customWidth="1"/>
    <col min="2" max="2" width="7.5546875" style="7" customWidth="1"/>
    <col min="3" max="3" width="8.33203125" style="7" customWidth="1"/>
    <col min="4" max="5" width="7.77734375" style="7" customWidth="1"/>
    <col min="6" max="7" width="7" style="7" customWidth="1"/>
    <col min="8" max="8" width="5.77734375" style="7" customWidth="1"/>
    <col min="9" max="12" width="6.5546875" style="7" customWidth="1"/>
    <col min="13" max="16384" width="8.88671875" style="7"/>
  </cols>
  <sheetData>
    <row r="1" spans="1:12" ht="41.25" customHeight="1" x14ac:dyDescent="0.3">
      <c r="A1" s="13">
        <v>3</v>
      </c>
      <c r="B1" s="306" t="s">
        <v>224</v>
      </c>
      <c r="C1" s="306"/>
      <c r="D1" s="306"/>
      <c r="E1" s="3"/>
      <c r="F1" s="3"/>
      <c r="G1" s="1"/>
    </row>
    <row r="2" spans="1:12" ht="40.5" customHeight="1" x14ac:dyDescent="0.15">
      <c r="B2" s="307" t="s">
        <v>225</v>
      </c>
      <c r="C2" s="307"/>
      <c r="D2" s="307"/>
    </row>
    <row r="3" spans="1:12" ht="36.75" customHeight="1" x14ac:dyDescent="0.15">
      <c r="A3" s="300" t="s">
        <v>241</v>
      </c>
      <c r="B3" s="294"/>
      <c r="C3" s="294" t="s">
        <v>37</v>
      </c>
      <c r="D3" s="294" t="s">
        <v>161</v>
      </c>
      <c r="E3" s="294"/>
      <c r="F3" s="294"/>
      <c r="G3" s="294"/>
      <c r="H3" s="294"/>
      <c r="I3" s="294"/>
      <c r="J3" s="294"/>
      <c r="K3" s="294"/>
      <c r="L3" s="295"/>
    </row>
    <row r="4" spans="1:12" ht="50.25" customHeight="1" x14ac:dyDescent="0.15">
      <c r="A4" s="301"/>
      <c r="B4" s="299"/>
      <c r="C4" s="299"/>
      <c r="D4" s="80" t="s">
        <v>192</v>
      </c>
      <c r="E4" s="80" t="s">
        <v>218</v>
      </c>
      <c r="F4" s="78" t="s">
        <v>99</v>
      </c>
      <c r="G4" s="80" t="s">
        <v>228</v>
      </c>
      <c r="H4" s="80" t="s">
        <v>205</v>
      </c>
      <c r="I4" s="80" t="s">
        <v>2</v>
      </c>
      <c r="J4" s="80" t="s">
        <v>202</v>
      </c>
      <c r="K4" s="80" t="s">
        <v>40</v>
      </c>
      <c r="L4" s="77" t="s">
        <v>83</v>
      </c>
    </row>
    <row r="5" spans="1:12" ht="24" customHeight="1" x14ac:dyDescent="0.15">
      <c r="A5" s="297" t="s">
        <v>37</v>
      </c>
      <c r="B5" s="43" t="s">
        <v>128</v>
      </c>
      <c r="C5" s="43">
        <f>SUM(D5:L5)</f>
        <v>1586</v>
      </c>
      <c r="D5" s="43">
        <f>SUM(D8,D11,D14,D17,D20,D23)</f>
        <v>1207</v>
      </c>
      <c r="E5" s="43">
        <f t="shared" ref="E5:L5" si="0">SUM(E8,E11,E14,E17,E20,E23)</f>
        <v>364</v>
      </c>
      <c r="F5" s="43">
        <f t="shared" si="0"/>
        <v>0</v>
      </c>
      <c r="G5" s="43">
        <f t="shared" si="0"/>
        <v>15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5">
        <f t="shared" si="0"/>
        <v>0</v>
      </c>
    </row>
    <row r="6" spans="1:12" ht="24" customHeight="1" x14ac:dyDescent="0.15">
      <c r="A6" s="293"/>
      <c r="B6" s="19" t="s">
        <v>70</v>
      </c>
      <c r="C6" s="19">
        <f>SUM(D6:L6)</f>
        <v>6239</v>
      </c>
      <c r="D6" s="19">
        <f>SUM(D9,D12,D15,D18,D21,D24)</f>
        <v>4380</v>
      </c>
      <c r="E6" s="19">
        <f t="shared" ref="E6:L6" si="1">SUM(E9,E12,E15,E18,E21,E24)</f>
        <v>1840</v>
      </c>
      <c r="F6" s="19">
        <f t="shared" si="1"/>
        <v>2</v>
      </c>
      <c r="G6" s="19">
        <f t="shared" si="1"/>
        <v>17</v>
      </c>
      <c r="H6" s="19">
        <f t="shared" si="1"/>
        <v>0</v>
      </c>
      <c r="I6" s="19">
        <f t="shared" si="1"/>
        <v>0</v>
      </c>
      <c r="J6" s="19">
        <f t="shared" si="1"/>
        <v>0</v>
      </c>
      <c r="K6" s="19">
        <f t="shared" si="1"/>
        <v>0</v>
      </c>
      <c r="L6" s="22">
        <f t="shared" si="1"/>
        <v>0</v>
      </c>
    </row>
    <row r="7" spans="1:12" ht="24" customHeight="1" x14ac:dyDescent="0.15">
      <c r="A7" s="298"/>
      <c r="B7" s="49" t="s">
        <v>198</v>
      </c>
      <c r="C7" s="19">
        <f>SUM(D7:L7)</f>
        <v>68993</v>
      </c>
      <c r="D7" s="82">
        <f>SUM(D10,D13,D16,D19,D22,D25)</f>
        <v>45419</v>
      </c>
      <c r="E7" s="82">
        <f t="shared" ref="E7:L7" si="2">SUM(E10,E13,E16,E19,E22,E25)</f>
        <v>23295</v>
      </c>
      <c r="F7" s="82">
        <f t="shared" si="2"/>
        <v>14</v>
      </c>
      <c r="G7" s="82">
        <f t="shared" si="2"/>
        <v>265</v>
      </c>
      <c r="H7" s="82">
        <f t="shared" si="2"/>
        <v>0</v>
      </c>
      <c r="I7" s="82">
        <f t="shared" si="2"/>
        <v>0</v>
      </c>
      <c r="J7" s="82">
        <f t="shared" si="2"/>
        <v>0</v>
      </c>
      <c r="K7" s="82">
        <f t="shared" si="2"/>
        <v>0</v>
      </c>
      <c r="L7" s="28">
        <f t="shared" si="2"/>
        <v>0</v>
      </c>
    </row>
    <row r="8" spans="1:12" ht="24" customHeight="1" x14ac:dyDescent="0.15">
      <c r="A8" s="303" t="s">
        <v>29</v>
      </c>
      <c r="B8" s="88" t="s">
        <v>128</v>
      </c>
      <c r="C8" s="88">
        <f>SUM(D8:L8)</f>
        <v>325</v>
      </c>
      <c r="D8" s="88">
        <f>120+105+13+2+1+2+3+1</f>
        <v>247</v>
      </c>
      <c r="E8" s="88">
        <f>62+12+0</f>
        <v>74</v>
      </c>
      <c r="F8" s="88">
        <f>0</f>
        <v>0</v>
      </c>
      <c r="G8" s="88">
        <f>4</f>
        <v>4</v>
      </c>
      <c r="H8" s="88"/>
      <c r="I8" s="88"/>
      <c r="J8" s="88"/>
      <c r="K8" s="88"/>
      <c r="L8" s="89"/>
    </row>
    <row r="9" spans="1:12" ht="24" customHeight="1" x14ac:dyDescent="0.15">
      <c r="A9" s="293"/>
      <c r="B9" s="19" t="s">
        <v>70</v>
      </c>
      <c r="C9" s="19">
        <f>SUM(D9:L9)</f>
        <v>1191</v>
      </c>
      <c r="D9" s="19">
        <f>120+105+13+102+42+23+13+30+40+105+21+122+42</f>
        <v>778</v>
      </c>
      <c r="E9" s="176">
        <f>62+12+70+35+20+20+33+65+20+44+27</f>
        <v>408</v>
      </c>
      <c r="F9" s="19">
        <f>1</f>
        <v>1</v>
      </c>
      <c r="G9" s="176">
        <f>4</f>
        <v>4</v>
      </c>
      <c r="H9" s="19"/>
      <c r="I9" s="19"/>
      <c r="J9" s="19"/>
      <c r="K9" s="19"/>
      <c r="L9" s="22"/>
    </row>
    <row r="10" spans="1:12" ht="24" customHeight="1" x14ac:dyDescent="0.15">
      <c r="A10" s="293"/>
      <c r="B10" s="23" t="s">
        <v>198</v>
      </c>
      <c r="C10" s="19">
        <f t="shared" ref="C10:C25" si="3">SUM(D10:L10)</f>
        <v>12288</v>
      </c>
      <c r="D10" s="19">
        <f>1020+1429+140+930+200+240+174+300+350+1005+220+1460+350</f>
        <v>7818</v>
      </c>
      <c r="E10" s="19">
        <f>907+80+768+200+200+261+335+715+170+503+283</f>
        <v>4422</v>
      </c>
      <c r="F10" s="19">
        <f>8</f>
        <v>8</v>
      </c>
      <c r="G10" s="19">
        <f>40</f>
        <v>40</v>
      </c>
      <c r="H10" s="19"/>
      <c r="I10" s="19"/>
      <c r="J10" s="19"/>
      <c r="K10" s="19"/>
      <c r="L10" s="22"/>
    </row>
    <row r="11" spans="1:12" ht="24" customHeight="1" x14ac:dyDescent="0.15">
      <c r="A11" s="293" t="s">
        <v>55</v>
      </c>
      <c r="B11" s="19" t="s">
        <v>128</v>
      </c>
      <c r="C11" s="19">
        <f t="shared" si="3"/>
        <v>20</v>
      </c>
      <c r="D11" s="19">
        <f>16+2+1</f>
        <v>19</v>
      </c>
      <c r="E11" s="19">
        <f>1</f>
        <v>1</v>
      </c>
      <c r="F11" s="19"/>
      <c r="G11" s="19"/>
      <c r="H11" s="19"/>
      <c r="I11" s="19"/>
      <c r="J11" s="19"/>
      <c r="K11" s="19"/>
      <c r="L11" s="22"/>
    </row>
    <row r="12" spans="1:12" ht="24" customHeight="1" x14ac:dyDescent="0.15">
      <c r="A12" s="293"/>
      <c r="B12" s="19" t="s">
        <v>70</v>
      </c>
      <c r="C12" s="19">
        <f>SUM(D12:L12)</f>
        <v>170</v>
      </c>
      <c r="D12" s="19">
        <f>16+20+75+20</f>
        <v>131</v>
      </c>
      <c r="E12" s="19">
        <f>1+36+2</f>
        <v>39</v>
      </c>
      <c r="F12" s="19"/>
      <c r="G12" s="19"/>
      <c r="H12" s="19"/>
      <c r="I12" s="19"/>
      <c r="J12" s="19"/>
      <c r="K12" s="19"/>
      <c r="L12" s="22"/>
    </row>
    <row r="13" spans="1:12" ht="24" customHeight="1" x14ac:dyDescent="0.15">
      <c r="A13" s="293"/>
      <c r="B13" s="23" t="s">
        <v>198</v>
      </c>
      <c r="C13" s="19">
        <f t="shared" si="3"/>
        <v>1447</v>
      </c>
      <c r="D13" s="19">
        <f>295+377+298+240</f>
        <v>1210</v>
      </c>
      <c r="E13" s="19">
        <f>12+130+95</f>
        <v>237</v>
      </c>
      <c r="F13" s="29"/>
      <c r="G13" s="29"/>
      <c r="H13" s="29"/>
      <c r="I13" s="29"/>
      <c r="J13" s="29"/>
      <c r="K13" s="29"/>
      <c r="L13" s="30"/>
    </row>
    <row r="14" spans="1:12" ht="24" customHeight="1" x14ac:dyDescent="0.15">
      <c r="A14" s="293" t="s">
        <v>116</v>
      </c>
      <c r="B14" s="19" t="s">
        <v>128</v>
      </c>
      <c r="C14" s="19">
        <f t="shared" si="3"/>
        <v>45</v>
      </c>
      <c r="D14" s="19">
        <f>22+1</f>
        <v>23</v>
      </c>
      <c r="E14" s="19">
        <f>22</f>
        <v>22</v>
      </c>
      <c r="F14" s="19"/>
      <c r="G14" s="19"/>
      <c r="H14" s="19"/>
      <c r="I14" s="19"/>
      <c r="J14" s="19"/>
      <c r="K14" s="19"/>
      <c r="L14" s="22"/>
    </row>
    <row r="15" spans="1:12" ht="24" customHeight="1" x14ac:dyDescent="0.15">
      <c r="A15" s="293"/>
      <c r="B15" s="19" t="s">
        <v>70</v>
      </c>
      <c r="C15" s="19">
        <f>SUM(D15:L15)</f>
        <v>176</v>
      </c>
      <c r="D15" s="19">
        <f>22+23+25+36</f>
        <v>106</v>
      </c>
      <c r="E15" s="19">
        <f>22+20+19+9</f>
        <v>70</v>
      </c>
      <c r="F15" s="19"/>
      <c r="G15" s="19"/>
      <c r="H15" s="19"/>
      <c r="I15" s="19"/>
      <c r="J15" s="19"/>
      <c r="K15" s="19"/>
      <c r="L15" s="22"/>
    </row>
    <row r="16" spans="1:12" ht="24" customHeight="1" x14ac:dyDescent="0.15">
      <c r="A16" s="293"/>
      <c r="B16" s="23" t="s">
        <v>198</v>
      </c>
      <c r="C16" s="19">
        <f t="shared" si="3"/>
        <v>1850</v>
      </c>
      <c r="D16" s="19">
        <f>220+300+250+220</f>
        <v>990</v>
      </c>
      <c r="E16" s="19">
        <f>209+281+190+180</f>
        <v>860</v>
      </c>
      <c r="F16" s="19"/>
      <c r="G16" s="29"/>
      <c r="H16" s="29"/>
      <c r="I16" s="29"/>
      <c r="J16" s="29"/>
      <c r="K16" s="29"/>
      <c r="L16" s="30"/>
    </row>
    <row r="17" spans="1:12" ht="24" customHeight="1" x14ac:dyDescent="0.15">
      <c r="A17" s="293" t="s">
        <v>65</v>
      </c>
      <c r="B17" s="19" t="s">
        <v>128</v>
      </c>
      <c r="C17" s="19">
        <f t="shared" si="3"/>
        <v>452</v>
      </c>
      <c r="D17" s="19">
        <f>108+156+75+0+2+2+3+1+2</f>
        <v>349</v>
      </c>
      <c r="E17" s="19">
        <f>52+6+38+0+1+1+1</f>
        <v>99</v>
      </c>
      <c r="F17" s="19">
        <f>0</f>
        <v>0</v>
      </c>
      <c r="G17" s="19">
        <f>4</f>
        <v>4</v>
      </c>
      <c r="H17" s="19"/>
      <c r="I17" s="19"/>
      <c r="J17" s="19"/>
      <c r="K17" s="19"/>
      <c r="L17" s="22"/>
    </row>
    <row r="18" spans="1:12" ht="24" customHeight="1" x14ac:dyDescent="0.15">
      <c r="A18" s="293"/>
      <c r="B18" s="19" t="s">
        <v>70</v>
      </c>
      <c r="C18" s="19">
        <f>SUM(D18:L18)</f>
        <v>1794</v>
      </c>
      <c r="D18" s="19">
        <f>108+156+88+17+95+74+104+17+27+122+36+30+138+61+110+80+20</f>
        <v>1283</v>
      </c>
      <c r="E18" s="19">
        <f>52+6+40+7+50+40+5+7+10+49+20+20+63+20+57+58</f>
        <v>504</v>
      </c>
      <c r="F18" s="19">
        <f>1</f>
        <v>1</v>
      </c>
      <c r="G18" s="19">
        <f>4+2</f>
        <v>6</v>
      </c>
      <c r="H18" s="19"/>
      <c r="I18" s="19"/>
      <c r="J18" s="19"/>
      <c r="K18" s="19"/>
      <c r="L18" s="22"/>
    </row>
    <row r="19" spans="1:12" ht="24" customHeight="1" x14ac:dyDescent="0.15">
      <c r="A19" s="293"/>
      <c r="B19" s="23" t="s">
        <v>198</v>
      </c>
      <c r="C19" s="19">
        <f t="shared" si="3"/>
        <v>20777</v>
      </c>
      <c r="D19" s="19">
        <f>1130+2440+959+168+885+716+1380+130+170+1326+560+380+1502+540+1037+795+289</f>
        <v>14407</v>
      </c>
      <c r="E19" s="19">
        <f>613+47+561+80+540+456+81+65+145+543+290+240+961+220+721+696</f>
        <v>6259</v>
      </c>
      <c r="F19" s="19">
        <f>6</f>
        <v>6</v>
      </c>
      <c r="G19" s="19">
        <f>45+60</f>
        <v>105</v>
      </c>
      <c r="H19" s="19"/>
      <c r="I19" s="19"/>
      <c r="J19" s="19"/>
      <c r="K19" s="19"/>
      <c r="L19" s="22"/>
    </row>
    <row r="20" spans="1:12" ht="24" customHeight="1" x14ac:dyDescent="0.15">
      <c r="A20" s="298" t="s">
        <v>57</v>
      </c>
      <c r="B20" s="19" t="s">
        <v>128</v>
      </c>
      <c r="C20" s="19">
        <f t="shared" si="3"/>
        <v>631</v>
      </c>
      <c r="D20" s="19">
        <f>173+186+107+30+1+4+2+3</f>
        <v>506</v>
      </c>
      <c r="E20" s="19">
        <f>65+4+31+17+1</f>
        <v>118</v>
      </c>
      <c r="F20" s="19"/>
      <c r="G20" s="19">
        <f>7</f>
        <v>7</v>
      </c>
      <c r="H20" s="19"/>
      <c r="I20" s="19"/>
      <c r="J20" s="19"/>
      <c r="K20" s="19"/>
      <c r="L20" s="22"/>
    </row>
    <row r="21" spans="1:12" ht="24" customHeight="1" x14ac:dyDescent="0.15">
      <c r="A21" s="304"/>
      <c r="B21" s="19" t="s">
        <v>70</v>
      </c>
      <c r="C21" s="19">
        <f>SUM(D21:L21)</f>
        <v>2462</v>
      </c>
      <c r="D21" s="19">
        <f>173+186+179+101+138+69+175+119+55+20+95+86+104+122+45+88+57+3</f>
        <v>1815</v>
      </c>
      <c r="E21" s="19">
        <f>65+4+48+53+50+37+27+53+44+10+45+24+41+62+17+37+23</f>
        <v>640</v>
      </c>
      <c r="F21" s="19"/>
      <c r="G21" s="19">
        <f>7</f>
        <v>7</v>
      </c>
      <c r="H21" s="19"/>
      <c r="I21" s="19"/>
      <c r="J21" s="19"/>
      <c r="K21" s="19"/>
      <c r="L21" s="22"/>
    </row>
    <row r="22" spans="1:12" ht="24" customHeight="1" x14ac:dyDescent="0.15">
      <c r="A22" s="305"/>
      <c r="B22" s="23" t="s">
        <v>198</v>
      </c>
      <c r="C22" s="19">
        <f t="shared" si="3"/>
        <v>28865</v>
      </c>
      <c r="D22" s="19">
        <f>1618+2538+1485+1117+1345+635+2199+990+600+230+1015+920+935+1300+360+930+569+45</f>
        <v>18831</v>
      </c>
      <c r="E22" s="19">
        <f>1062+30+822+757+705+590+521+642+390+200+843+510+692+838+318+653+341</f>
        <v>9914</v>
      </c>
      <c r="F22" s="19"/>
      <c r="G22" s="19">
        <f>120</f>
        <v>120</v>
      </c>
      <c r="H22" s="19"/>
      <c r="I22" s="19"/>
      <c r="J22" s="19"/>
      <c r="K22" s="19"/>
      <c r="L22" s="22"/>
    </row>
    <row r="23" spans="1:12" ht="24" customHeight="1" x14ac:dyDescent="0.15">
      <c r="A23" s="293" t="s">
        <v>95</v>
      </c>
      <c r="B23" s="19" t="s">
        <v>128</v>
      </c>
      <c r="C23" s="19">
        <f t="shared" si="3"/>
        <v>113</v>
      </c>
      <c r="D23" s="19">
        <f>59+1+3</f>
        <v>63</v>
      </c>
      <c r="E23" s="19">
        <f>50+0</f>
        <v>50</v>
      </c>
      <c r="F23" s="19"/>
      <c r="G23" s="19"/>
      <c r="H23" s="19"/>
      <c r="I23" s="19"/>
      <c r="J23" s="19"/>
      <c r="K23" s="19"/>
      <c r="L23" s="22"/>
    </row>
    <row r="24" spans="1:12" ht="24" customHeight="1" x14ac:dyDescent="0.15">
      <c r="A24" s="293"/>
      <c r="B24" s="19" t="s">
        <v>70</v>
      </c>
      <c r="C24" s="19">
        <f>SUM(D24:L24)</f>
        <v>446</v>
      </c>
      <c r="D24" s="19">
        <f>59+62+1+63+81+1</f>
        <v>267</v>
      </c>
      <c r="E24" s="19">
        <f>50+50+50+29</f>
        <v>179</v>
      </c>
      <c r="F24" s="19"/>
      <c r="G24" s="19"/>
      <c r="H24" s="19"/>
      <c r="I24" s="19"/>
      <c r="J24" s="19"/>
      <c r="K24" s="19"/>
      <c r="L24" s="22"/>
    </row>
    <row r="25" spans="1:12" ht="24" customHeight="1" x14ac:dyDescent="0.15">
      <c r="A25" s="302"/>
      <c r="B25" s="31" t="s">
        <v>198</v>
      </c>
      <c r="C25" s="27">
        <f t="shared" si="3"/>
        <v>3766</v>
      </c>
      <c r="D25" s="27">
        <f>505+550+10+515+568+15</f>
        <v>2163</v>
      </c>
      <c r="E25" s="27">
        <f>412+452+432+307</f>
        <v>1603</v>
      </c>
      <c r="F25" s="27"/>
      <c r="G25" s="27"/>
      <c r="H25" s="27"/>
      <c r="I25" s="27"/>
      <c r="J25" s="27"/>
      <c r="K25" s="27"/>
      <c r="L25" s="28"/>
    </row>
  </sheetData>
  <mergeCells count="12">
    <mergeCell ref="A23:A25"/>
    <mergeCell ref="A5:A7"/>
    <mergeCell ref="A8:A10"/>
    <mergeCell ref="A11:A13"/>
    <mergeCell ref="A14:A16"/>
    <mergeCell ref="A17:A19"/>
    <mergeCell ref="A20:A22"/>
    <mergeCell ref="B1:D1"/>
    <mergeCell ref="B2:D2"/>
    <mergeCell ref="A3:B4"/>
    <mergeCell ref="C3:C4"/>
    <mergeCell ref="D3:L3"/>
  </mergeCells>
  <phoneticPr fontId="23" type="noConversion"/>
  <pageMargins left="0.34986111521720886" right="0.31986111402511597" top="0.81000000238418579" bottom="0.54000002145767212" header="1.3995833396911621" footer="0.5"/>
  <pageSetup paperSize="9" orientation="portrait" horizontalDpi="4294967293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6DAF1"/>
  </sheetPr>
  <dimension ref="A1:M25"/>
  <sheetViews>
    <sheetView zoomScaleNormal="100" zoomScaleSheetLayoutView="75" workbookViewId="0">
      <pane xSplit="1" ySplit="7" topLeftCell="B14" activePane="bottomRight" state="frozen"/>
      <selection pane="topRight"/>
      <selection pane="bottomLeft"/>
      <selection pane="bottomRight" activeCell="O15" sqref="O15"/>
    </sheetView>
  </sheetViews>
  <sheetFormatPr defaultColWidth="8.88671875" defaultRowHeight="13.5" x14ac:dyDescent="0.15"/>
  <cols>
    <col min="1" max="1" width="6.44140625" style="2" customWidth="1"/>
    <col min="2" max="2" width="9.21875" style="2" customWidth="1"/>
    <col min="3" max="3" width="8.33203125" style="2" customWidth="1"/>
    <col min="4" max="5" width="6.5546875" style="2" bestFit="1" customWidth="1"/>
    <col min="6" max="6" width="6.77734375" style="2" customWidth="1"/>
    <col min="7" max="7" width="8" style="2" customWidth="1"/>
    <col min="8" max="8" width="8.5546875" style="2" bestFit="1" customWidth="1"/>
    <col min="9" max="9" width="8.21875" style="2" bestFit="1" customWidth="1"/>
    <col min="10" max="10" width="7.77734375" style="2" bestFit="1" customWidth="1"/>
    <col min="11" max="11" width="5" style="2" customWidth="1"/>
    <col min="12" max="16384" width="8.88671875" style="2"/>
  </cols>
  <sheetData>
    <row r="1" spans="1:13" ht="31.5" customHeight="1" x14ac:dyDescent="0.3">
      <c r="A1" s="5">
        <v>3</v>
      </c>
      <c r="B1" s="313" t="s">
        <v>222</v>
      </c>
      <c r="C1" s="313"/>
      <c r="D1" s="313"/>
      <c r="E1" s="313"/>
      <c r="F1" s="1"/>
      <c r="G1" s="1"/>
    </row>
    <row r="2" spans="1:13" ht="34.5" customHeight="1" x14ac:dyDescent="0.15">
      <c r="B2" s="307" t="s">
        <v>223</v>
      </c>
      <c r="C2" s="307"/>
      <c r="D2" s="307"/>
      <c r="E2" s="307"/>
    </row>
    <row r="3" spans="1:13" ht="36.75" customHeight="1" x14ac:dyDescent="0.15">
      <c r="A3" s="300" t="s">
        <v>243</v>
      </c>
      <c r="B3" s="309"/>
      <c r="C3" s="294" t="s">
        <v>37</v>
      </c>
      <c r="D3" s="294" t="s">
        <v>161</v>
      </c>
      <c r="E3" s="294"/>
      <c r="F3" s="294"/>
      <c r="G3" s="294"/>
      <c r="H3" s="294"/>
      <c r="I3" s="294"/>
      <c r="J3" s="294"/>
      <c r="K3" s="295" t="s">
        <v>129</v>
      </c>
    </row>
    <row r="4" spans="1:13" ht="60.75" customHeight="1" x14ac:dyDescent="0.15">
      <c r="A4" s="310"/>
      <c r="B4" s="311"/>
      <c r="C4" s="308"/>
      <c r="D4" s="48" t="s">
        <v>189</v>
      </c>
      <c r="E4" s="48" t="s">
        <v>176</v>
      </c>
      <c r="F4" s="48" t="s">
        <v>175</v>
      </c>
      <c r="G4" s="48" t="s">
        <v>180</v>
      </c>
      <c r="H4" s="49" t="s">
        <v>159</v>
      </c>
      <c r="I4" s="48" t="s">
        <v>168</v>
      </c>
      <c r="J4" s="50" t="s">
        <v>219</v>
      </c>
      <c r="K4" s="296"/>
    </row>
    <row r="5" spans="1:13" ht="24" customHeight="1" x14ac:dyDescent="0.15">
      <c r="A5" s="297" t="s">
        <v>37</v>
      </c>
      <c r="B5" s="43" t="s">
        <v>128</v>
      </c>
      <c r="C5" s="43">
        <f>SUM(D5:K5)</f>
        <v>1581</v>
      </c>
      <c r="D5" s="43">
        <f>SUM(D8,D11,D14,D17,D20,D23)</f>
        <v>1581</v>
      </c>
      <c r="E5" s="43">
        <f t="shared" ref="E5:J5" si="0">SUM(E11,E14,E17,E20,E23)</f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5"/>
    </row>
    <row r="6" spans="1:13" ht="24" customHeight="1" x14ac:dyDescent="0.15">
      <c r="A6" s="293"/>
      <c r="B6" s="19" t="s">
        <v>70</v>
      </c>
      <c r="C6" s="19">
        <f>SUM(D6:K6)</f>
        <v>3192</v>
      </c>
      <c r="D6" s="43">
        <f t="shared" ref="D6:D7" si="1">SUM(D9,D12,D15,D18,D21,D24)</f>
        <v>3192</v>
      </c>
      <c r="E6" s="19">
        <f t="shared" ref="E6:J7" si="2">SUM(E12,E15,E18,E21,E24)</f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22"/>
    </row>
    <row r="7" spans="1:13" ht="24" customHeight="1" x14ac:dyDescent="0.15">
      <c r="A7" s="298"/>
      <c r="B7" s="82" t="s">
        <v>198</v>
      </c>
      <c r="C7" s="19">
        <f>SUM(D7:K7)</f>
        <v>3192</v>
      </c>
      <c r="D7" s="43">
        <f t="shared" si="1"/>
        <v>3192</v>
      </c>
      <c r="E7" s="19">
        <f>SUM(E13,E16,E19,E22,E25)</f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91"/>
    </row>
    <row r="8" spans="1:13" ht="24" customHeight="1" x14ac:dyDescent="0.15">
      <c r="A8" s="303" t="s">
        <v>29</v>
      </c>
      <c r="B8" s="88" t="s">
        <v>128</v>
      </c>
      <c r="C8" s="88">
        <f>SUM(D8:J8)</f>
        <v>273</v>
      </c>
      <c r="D8" s="88">
        <f>129+118+13+4+4+2+2+1</f>
        <v>273</v>
      </c>
      <c r="E8" s="88"/>
      <c r="F8" s="88"/>
      <c r="G8" s="88"/>
      <c r="H8" s="88"/>
      <c r="I8" s="88"/>
      <c r="J8" s="88"/>
      <c r="K8" s="89"/>
    </row>
    <row r="9" spans="1:13" ht="24" customHeight="1" x14ac:dyDescent="0.15">
      <c r="A9" s="293"/>
      <c r="B9" s="19" t="s">
        <v>70</v>
      </c>
      <c r="C9" s="19">
        <f>SUM(D9:J9)</f>
        <v>571</v>
      </c>
      <c r="D9" s="19">
        <f>129+118+13+19+16+13+19+10+124+17+84+9</f>
        <v>571</v>
      </c>
      <c r="E9" s="19"/>
      <c r="F9" s="19"/>
      <c r="G9" s="19"/>
      <c r="H9" s="19"/>
      <c r="I9" s="19"/>
      <c r="J9" s="19"/>
      <c r="K9" s="22"/>
    </row>
    <row r="10" spans="1:13" ht="24" customHeight="1" x14ac:dyDescent="0.15">
      <c r="A10" s="312"/>
      <c r="B10" s="19" t="s">
        <v>198</v>
      </c>
      <c r="C10" s="19">
        <f>SUM(D10:J10)</f>
        <v>571</v>
      </c>
      <c r="D10" s="19">
        <f>129+118+13+19+16+13+19+10+124+17+84+9</f>
        <v>571</v>
      </c>
      <c r="E10" s="19"/>
      <c r="F10" s="19"/>
      <c r="G10" s="19"/>
      <c r="H10" s="19"/>
      <c r="I10" s="19"/>
      <c r="J10" s="19"/>
      <c r="K10" s="22"/>
    </row>
    <row r="11" spans="1:13" ht="24" customHeight="1" x14ac:dyDescent="0.15">
      <c r="A11" s="293" t="s">
        <v>55</v>
      </c>
      <c r="B11" s="19" t="s">
        <v>128</v>
      </c>
      <c r="C11" s="19">
        <f t="shared" ref="C11:C25" si="3">SUM(D11:J11)</f>
        <v>22</v>
      </c>
      <c r="D11" s="19">
        <f>18+3+1</f>
        <v>22</v>
      </c>
      <c r="E11" s="19"/>
      <c r="F11" s="19"/>
      <c r="G11" s="19"/>
      <c r="H11" s="19"/>
      <c r="I11" s="19"/>
      <c r="J11" s="19"/>
      <c r="K11" s="22"/>
      <c r="L11" s="12"/>
      <c r="M11" s="11"/>
    </row>
    <row r="12" spans="1:13" ht="24" customHeight="1" x14ac:dyDescent="0.15">
      <c r="A12" s="293"/>
      <c r="B12" s="19" t="s">
        <v>70</v>
      </c>
      <c r="C12" s="19">
        <f>SUM(D12:J12)</f>
        <v>70</v>
      </c>
      <c r="D12" s="19">
        <f>18+14+21+17</f>
        <v>70</v>
      </c>
      <c r="E12" s="19"/>
      <c r="F12" s="19"/>
      <c r="G12" s="19"/>
      <c r="H12" s="19"/>
      <c r="I12" s="19"/>
      <c r="J12" s="19"/>
      <c r="K12" s="22"/>
      <c r="L12" s="12"/>
      <c r="M12" s="11"/>
    </row>
    <row r="13" spans="1:13" ht="24" customHeight="1" x14ac:dyDescent="0.15">
      <c r="A13" s="312"/>
      <c r="B13" s="19" t="s">
        <v>198</v>
      </c>
      <c r="C13" s="19">
        <f t="shared" si="3"/>
        <v>70</v>
      </c>
      <c r="D13" s="19">
        <f>18+14+21+17</f>
        <v>70</v>
      </c>
      <c r="E13" s="19"/>
      <c r="F13" s="29"/>
      <c r="G13" s="29"/>
      <c r="H13" s="29"/>
      <c r="I13" s="29"/>
      <c r="J13" s="29"/>
      <c r="K13" s="30"/>
      <c r="L13" s="12"/>
      <c r="M13" s="11"/>
    </row>
    <row r="14" spans="1:13" ht="24" customHeight="1" x14ac:dyDescent="0.15">
      <c r="A14" s="293" t="s">
        <v>116</v>
      </c>
      <c r="B14" s="19" t="s">
        <v>128</v>
      </c>
      <c r="C14" s="19">
        <f t="shared" si="3"/>
        <v>44</v>
      </c>
      <c r="D14" s="19">
        <f>44</f>
        <v>44</v>
      </c>
      <c r="E14" s="19"/>
      <c r="F14" s="19"/>
      <c r="G14" s="19"/>
      <c r="H14" s="19"/>
      <c r="I14" s="19"/>
      <c r="J14" s="19"/>
      <c r="K14" s="22"/>
      <c r="L14" s="12"/>
      <c r="M14" s="11"/>
    </row>
    <row r="15" spans="1:13" ht="24" customHeight="1" x14ac:dyDescent="0.15">
      <c r="A15" s="293"/>
      <c r="B15" s="19" t="s">
        <v>70</v>
      </c>
      <c r="C15" s="19">
        <f>SUM(D15:J15)</f>
        <v>70</v>
      </c>
      <c r="D15" s="19">
        <f>44+26</f>
        <v>70</v>
      </c>
      <c r="E15" s="19"/>
      <c r="F15" s="19"/>
      <c r="G15" s="19"/>
      <c r="H15" s="19"/>
      <c r="I15" s="19"/>
      <c r="J15" s="19"/>
      <c r="K15" s="22"/>
      <c r="L15" s="12"/>
      <c r="M15" s="11"/>
    </row>
    <row r="16" spans="1:13" ht="24" customHeight="1" x14ac:dyDescent="0.15">
      <c r="A16" s="312"/>
      <c r="B16" s="19" t="s">
        <v>198</v>
      </c>
      <c r="C16" s="19">
        <f t="shared" si="3"/>
        <v>70</v>
      </c>
      <c r="D16" s="19">
        <f>44+26</f>
        <v>70</v>
      </c>
      <c r="E16" s="19"/>
      <c r="F16" s="29"/>
      <c r="G16" s="29"/>
      <c r="H16" s="29"/>
      <c r="I16" s="29"/>
      <c r="J16" s="29"/>
      <c r="K16" s="30"/>
    </row>
    <row r="17" spans="1:11" ht="24" customHeight="1" x14ac:dyDescent="0.15">
      <c r="A17" s="293" t="s">
        <v>5</v>
      </c>
      <c r="B17" s="19" t="s">
        <v>128</v>
      </c>
      <c r="C17" s="19">
        <f t="shared" si="3"/>
        <v>377</v>
      </c>
      <c r="D17" s="19">
        <f>124+113+61+0+36+8+25+4+1+2+1+2</f>
        <v>377</v>
      </c>
      <c r="E17" s="19"/>
      <c r="F17" s="19"/>
      <c r="G17" s="19"/>
      <c r="H17" s="19"/>
      <c r="I17" s="19"/>
      <c r="J17" s="19"/>
      <c r="K17" s="22"/>
    </row>
    <row r="18" spans="1:11" ht="24" customHeight="1" x14ac:dyDescent="0.15">
      <c r="A18" s="293"/>
      <c r="B18" s="19" t="s">
        <v>70</v>
      </c>
      <c r="C18" s="19">
        <f>SUM(D18:J18)</f>
        <v>999</v>
      </c>
      <c r="D18" s="19">
        <f>124+113+69+10+111+68+31+27+146+56+50+42+34+57+51+10</f>
        <v>999</v>
      </c>
      <c r="E18" s="19"/>
      <c r="F18" s="19"/>
      <c r="G18" s="19"/>
      <c r="H18" s="19"/>
      <c r="I18" s="19"/>
      <c r="J18" s="19"/>
      <c r="K18" s="22"/>
    </row>
    <row r="19" spans="1:11" ht="24" customHeight="1" x14ac:dyDescent="0.15">
      <c r="A19" s="312"/>
      <c r="B19" s="19" t="s">
        <v>198</v>
      </c>
      <c r="C19" s="19">
        <f t="shared" si="3"/>
        <v>999</v>
      </c>
      <c r="D19" s="19">
        <f>124+113+69+10+111+68+31+27+146+56+50+42+34+57+51+10</f>
        <v>999</v>
      </c>
      <c r="E19" s="19"/>
      <c r="F19" s="29"/>
      <c r="G19" s="29"/>
      <c r="H19" s="29"/>
      <c r="I19" s="29"/>
      <c r="J19" s="29"/>
      <c r="K19" s="30"/>
    </row>
    <row r="20" spans="1:11" ht="24" customHeight="1" x14ac:dyDescent="0.15">
      <c r="A20" s="315" t="s">
        <v>61</v>
      </c>
      <c r="B20" s="19" t="s">
        <v>128</v>
      </c>
      <c r="C20" s="19">
        <f t="shared" si="3"/>
        <v>754</v>
      </c>
      <c r="D20" s="19">
        <f>271+247+126+12+3+1+13+1+10+31+2+35+2</f>
        <v>754</v>
      </c>
      <c r="E20" s="19"/>
      <c r="F20" s="29"/>
      <c r="G20" s="29"/>
      <c r="H20" s="29"/>
      <c r="I20" s="29"/>
      <c r="J20" s="29"/>
      <c r="K20" s="30"/>
    </row>
    <row r="21" spans="1:11" ht="24" customHeight="1" x14ac:dyDescent="0.15">
      <c r="A21" s="316"/>
      <c r="B21" s="19" t="s">
        <v>70</v>
      </c>
      <c r="C21" s="19">
        <f>SUM(D21:J21)</f>
        <v>1332</v>
      </c>
      <c r="D21" s="19">
        <f>271+247+126+23+42+28+73+43+13+15+140+79+61+56+44+29+39+3</f>
        <v>1332</v>
      </c>
      <c r="E21" s="19"/>
      <c r="F21" s="29"/>
      <c r="G21" s="29"/>
      <c r="H21" s="29"/>
      <c r="I21" s="29"/>
      <c r="J21" s="29"/>
      <c r="K21" s="30"/>
    </row>
    <row r="22" spans="1:11" ht="24" customHeight="1" x14ac:dyDescent="0.15">
      <c r="A22" s="317"/>
      <c r="B22" s="19" t="s">
        <v>198</v>
      </c>
      <c r="C22" s="19">
        <f t="shared" si="3"/>
        <v>1332</v>
      </c>
      <c r="D22" s="19">
        <f>271+247+126+23+42+28+73+43+13+15+140+79+61+56+44+29+39+3</f>
        <v>1332</v>
      </c>
      <c r="E22" s="19"/>
      <c r="F22" s="29"/>
      <c r="G22" s="29"/>
      <c r="H22" s="29"/>
      <c r="I22" s="29"/>
      <c r="J22" s="29"/>
      <c r="K22" s="30"/>
    </row>
    <row r="23" spans="1:11" ht="24" customHeight="1" x14ac:dyDescent="0.15">
      <c r="A23" s="293" t="s">
        <v>95</v>
      </c>
      <c r="B23" s="19" t="s">
        <v>128</v>
      </c>
      <c r="C23" s="19">
        <f t="shared" si="3"/>
        <v>111</v>
      </c>
      <c r="D23" s="19">
        <f>108+0+3</f>
        <v>111</v>
      </c>
      <c r="E23" s="19"/>
      <c r="F23" s="19"/>
      <c r="G23" s="19"/>
      <c r="H23" s="19"/>
      <c r="I23" s="19"/>
      <c r="J23" s="19"/>
      <c r="K23" s="22"/>
    </row>
    <row r="24" spans="1:11" ht="24" customHeight="1" x14ac:dyDescent="0.15">
      <c r="A24" s="293"/>
      <c r="B24" s="19" t="s">
        <v>70</v>
      </c>
      <c r="C24" s="19">
        <f>SUM(D24:J24)</f>
        <v>150</v>
      </c>
      <c r="D24" s="19">
        <f>108+1+5+35+1</f>
        <v>150</v>
      </c>
      <c r="E24" s="19"/>
      <c r="F24" s="19"/>
      <c r="G24" s="19"/>
      <c r="H24" s="19"/>
      <c r="I24" s="19"/>
      <c r="J24" s="19"/>
      <c r="K24" s="22"/>
    </row>
    <row r="25" spans="1:11" ht="24" customHeight="1" x14ac:dyDescent="0.15">
      <c r="A25" s="314"/>
      <c r="B25" s="27" t="s">
        <v>198</v>
      </c>
      <c r="C25" s="27">
        <f t="shared" si="3"/>
        <v>150</v>
      </c>
      <c r="D25" s="27">
        <f>108+1+5+35+1</f>
        <v>150</v>
      </c>
      <c r="E25" s="27"/>
      <c r="F25" s="46"/>
      <c r="G25" s="46"/>
      <c r="H25" s="46"/>
      <c r="I25" s="46"/>
      <c r="J25" s="46"/>
      <c r="K25" s="47"/>
    </row>
  </sheetData>
  <mergeCells count="13">
    <mergeCell ref="A17:A19"/>
    <mergeCell ref="B2:E2"/>
    <mergeCell ref="B1:E1"/>
    <mergeCell ref="A23:A25"/>
    <mergeCell ref="A8:A10"/>
    <mergeCell ref="A11:A13"/>
    <mergeCell ref="A14:A16"/>
    <mergeCell ref="A20:A22"/>
    <mergeCell ref="K3:K4"/>
    <mergeCell ref="D3:J3"/>
    <mergeCell ref="C3:C4"/>
    <mergeCell ref="A3:B4"/>
    <mergeCell ref="A5:A7"/>
  </mergeCells>
  <phoneticPr fontId="23" type="noConversion"/>
  <pageMargins left="0.46000000834465027" right="0.40000000596046448" top="1" bottom="0.73000001907348633" header="0.50986111164093018" footer="0.5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6DAF1"/>
  </sheetPr>
  <dimension ref="A1:L25"/>
  <sheetViews>
    <sheetView zoomScaleNormal="100" zoomScaleSheetLayoutView="75" workbookViewId="0">
      <pane xSplit="2" ySplit="4" topLeftCell="C5" activePane="bottomRight" state="frozen"/>
      <selection pane="topRight"/>
      <selection pane="bottomLeft"/>
      <selection pane="bottomRight" activeCell="Q18" sqref="Q18"/>
    </sheetView>
  </sheetViews>
  <sheetFormatPr defaultColWidth="8.88671875" defaultRowHeight="13.5" x14ac:dyDescent="0.15"/>
  <cols>
    <col min="1" max="1" width="6.44140625" style="2" customWidth="1"/>
    <col min="2" max="2" width="6.88671875" style="2" customWidth="1"/>
    <col min="3" max="3" width="8" style="2" customWidth="1"/>
    <col min="4" max="4" width="7.109375" style="2" customWidth="1"/>
    <col min="5" max="5" width="8.5546875" style="2" customWidth="1"/>
    <col min="6" max="6" width="9" style="2" customWidth="1"/>
    <col min="7" max="7" width="7.109375" style="2" customWidth="1"/>
    <col min="8" max="8" width="8.21875" style="2" customWidth="1"/>
    <col min="9" max="9" width="6.6640625" style="2" customWidth="1"/>
    <col min="10" max="10" width="9.109375" style="2" customWidth="1"/>
    <col min="11" max="11" width="4.44140625" style="2" customWidth="1"/>
    <col min="12" max="16384" width="8.88671875" style="2"/>
  </cols>
  <sheetData>
    <row r="1" spans="1:12" ht="25.5" x14ac:dyDescent="0.3">
      <c r="A1" s="5">
        <v>3</v>
      </c>
      <c r="B1" s="313" t="s">
        <v>222</v>
      </c>
      <c r="C1" s="313"/>
      <c r="D1" s="313"/>
      <c r="E1" s="313"/>
      <c r="F1" s="1"/>
      <c r="G1" s="1"/>
    </row>
    <row r="2" spans="1:12" ht="23.25" customHeight="1" x14ac:dyDescent="0.15">
      <c r="B2" s="307" t="s">
        <v>234</v>
      </c>
      <c r="C2" s="307"/>
      <c r="D2" s="307"/>
      <c r="E2" s="307"/>
    </row>
    <row r="3" spans="1:12" ht="30.75" customHeight="1" x14ac:dyDescent="0.15">
      <c r="A3" s="319" t="s">
        <v>243</v>
      </c>
      <c r="B3" s="320"/>
      <c r="C3" s="323" t="s">
        <v>37</v>
      </c>
      <c r="D3" s="294" t="s">
        <v>161</v>
      </c>
      <c r="E3" s="294"/>
      <c r="F3" s="294"/>
      <c r="G3" s="294"/>
      <c r="H3" s="294"/>
      <c r="I3" s="294"/>
      <c r="J3" s="294"/>
      <c r="K3" s="318" t="s">
        <v>1</v>
      </c>
    </row>
    <row r="4" spans="1:12" ht="37.5" customHeight="1" x14ac:dyDescent="0.15">
      <c r="A4" s="321"/>
      <c r="B4" s="322"/>
      <c r="C4" s="324"/>
      <c r="D4" s="48" t="s">
        <v>210</v>
      </c>
      <c r="E4" s="48" t="s">
        <v>220</v>
      </c>
      <c r="F4" s="48" t="s">
        <v>182</v>
      </c>
      <c r="G4" s="48" t="s">
        <v>242</v>
      </c>
      <c r="H4" s="48" t="s">
        <v>190</v>
      </c>
      <c r="I4" s="51" t="s">
        <v>188</v>
      </c>
      <c r="J4" s="48" t="s">
        <v>169</v>
      </c>
      <c r="K4" s="296"/>
    </row>
    <row r="5" spans="1:12" ht="24" customHeight="1" x14ac:dyDescent="0.15">
      <c r="A5" s="297" t="s">
        <v>37</v>
      </c>
      <c r="B5" s="43" t="s">
        <v>128</v>
      </c>
      <c r="C5" s="52">
        <f>SUM(D5:J5)</f>
        <v>1033</v>
      </c>
      <c r="D5" s="43">
        <f t="shared" ref="D5:D7" si="0">SUM(D8,D11,D14,D17,D20,D23)</f>
        <v>0</v>
      </c>
      <c r="E5" s="43">
        <f t="shared" ref="E5:J5" si="1">SUM(E8,E11,E14,E17,E20,E23)</f>
        <v>0</v>
      </c>
      <c r="F5" s="43">
        <f t="shared" si="1"/>
        <v>0</v>
      </c>
      <c r="G5" s="43">
        <f t="shared" si="1"/>
        <v>0</v>
      </c>
      <c r="H5" s="43">
        <f t="shared" si="1"/>
        <v>0</v>
      </c>
      <c r="I5" s="43">
        <f t="shared" si="1"/>
        <v>396</v>
      </c>
      <c r="J5" s="43">
        <f t="shared" si="1"/>
        <v>637</v>
      </c>
      <c r="K5" s="45"/>
      <c r="L5" s="11"/>
    </row>
    <row r="6" spans="1:12" ht="24" customHeight="1" x14ac:dyDescent="0.15">
      <c r="A6" s="293"/>
      <c r="B6" s="19" t="s">
        <v>70</v>
      </c>
      <c r="C6" s="21">
        <f>SUM(D6:J6)</f>
        <v>1835</v>
      </c>
      <c r="D6" s="19">
        <f t="shared" si="0"/>
        <v>0</v>
      </c>
      <c r="E6" s="19">
        <f t="shared" ref="E6:J7" si="2">SUM(E9,E12,E15,E18,E21,E24)</f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676</v>
      </c>
      <c r="J6" s="19">
        <f t="shared" si="2"/>
        <v>1159</v>
      </c>
      <c r="K6" s="22"/>
      <c r="L6" s="11"/>
    </row>
    <row r="7" spans="1:12" ht="24" customHeight="1" x14ac:dyDescent="0.15">
      <c r="A7" s="298"/>
      <c r="B7" s="82" t="s">
        <v>198</v>
      </c>
      <c r="C7" s="21">
        <f>SUM(D7:J7)</f>
        <v>1835</v>
      </c>
      <c r="D7" s="19">
        <f t="shared" si="0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676</v>
      </c>
      <c r="J7" s="19">
        <f t="shared" si="2"/>
        <v>1159</v>
      </c>
      <c r="K7" s="91"/>
      <c r="L7" s="11"/>
    </row>
    <row r="8" spans="1:12" ht="24" customHeight="1" x14ac:dyDescent="0.15">
      <c r="A8" s="303" t="s">
        <v>29</v>
      </c>
      <c r="B8" s="88" t="s">
        <v>128</v>
      </c>
      <c r="C8" s="88">
        <f>SUM(D8:J8)</f>
        <v>254</v>
      </c>
      <c r="D8" s="88"/>
      <c r="E8" s="88"/>
      <c r="F8" s="88"/>
      <c r="G8" s="88"/>
      <c r="H8" s="88"/>
      <c r="I8" s="88">
        <f>13+6+18</f>
        <v>37</v>
      </c>
      <c r="J8" s="88">
        <f>53+28+55+9+6+66</f>
        <v>217</v>
      </c>
      <c r="K8" s="89"/>
    </row>
    <row r="9" spans="1:12" ht="24" customHeight="1" x14ac:dyDescent="0.15">
      <c r="A9" s="293"/>
      <c r="B9" s="19" t="s">
        <v>70</v>
      </c>
      <c r="C9" s="19">
        <f t="shared" ref="C9:C25" si="3">SUM(D9:J9)</f>
        <v>408</v>
      </c>
      <c r="D9" s="19"/>
      <c r="E9" s="19"/>
      <c r="F9" s="19"/>
      <c r="G9" s="19"/>
      <c r="H9" s="19"/>
      <c r="I9" s="19">
        <f>13+13+19+59</f>
        <v>104</v>
      </c>
      <c r="J9" s="19">
        <f>53+28+65+16+10+17+115</f>
        <v>304</v>
      </c>
      <c r="K9" s="22"/>
    </row>
    <row r="10" spans="1:12" ht="24" customHeight="1" x14ac:dyDescent="0.15">
      <c r="A10" s="293"/>
      <c r="B10" s="19" t="s">
        <v>198</v>
      </c>
      <c r="C10" s="19">
        <f t="shared" si="3"/>
        <v>408</v>
      </c>
      <c r="D10" s="19"/>
      <c r="E10" s="19"/>
      <c r="F10" s="19"/>
      <c r="G10" s="19"/>
      <c r="H10" s="19"/>
      <c r="I10" s="19">
        <f>13+13+19+59</f>
        <v>104</v>
      </c>
      <c r="J10" s="176">
        <f>53+28+65+16+10+17+115</f>
        <v>304</v>
      </c>
      <c r="K10" s="22"/>
    </row>
    <row r="11" spans="1:12" ht="24" customHeight="1" x14ac:dyDescent="0.15">
      <c r="A11" s="293" t="s">
        <v>55</v>
      </c>
      <c r="B11" s="19" t="s">
        <v>128</v>
      </c>
      <c r="C11" s="19">
        <f t="shared" si="3"/>
        <v>18</v>
      </c>
      <c r="D11" s="19"/>
      <c r="E11" s="19"/>
      <c r="F11" s="19"/>
      <c r="G11" s="19"/>
      <c r="H11" s="19"/>
      <c r="I11" s="19">
        <f>14</f>
        <v>14</v>
      </c>
      <c r="J11" s="19">
        <f>4</f>
        <v>4</v>
      </c>
      <c r="K11" s="22"/>
    </row>
    <row r="12" spans="1:12" ht="24" customHeight="1" x14ac:dyDescent="0.15">
      <c r="A12" s="293"/>
      <c r="B12" s="19" t="s">
        <v>70</v>
      </c>
      <c r="C12" s="19">
        <f t="shared" si="3"/>
        <v>29</v>
      </c>
      <c r="D12" s="19"/>
      <c r="E12" s="19"/>
      <c r="F12" s="19"/>
      <c r="G12" s="19"/>
      <c r="H12" s="19"/>
      <c r="I12" s="19">
        <f>14</f>
        <v>14</v>
      </c>
      <c r="J12" s="19">
        <f>8+7</f>
        <v>15</v>
      </c>
      <c r="K12" s="22"/>
    </row>
    <row r="13" spans="1:12" ht="24" customHeight="1" x14ac:dyDescent="0.15">
      <c r="A13" s="293"/>
      <c r="B13" s="19" t="s">
        <v>198</v>
      </c>
      <c r="C13" s="19">
        <f t="shared" si="3"/>
        <v>29</v>
      </c>
      <c r="D13" s="19"/>
      <c r="E13" s="19"/>
      <c r="F13" s="19"/>
      <c r="G13" s="19"/>
      <c r="H13" s="19"/>
      <c r="I13" s="19">
        <f>14</f>
        <v>14</v>
      </c>
      <c r="J13" s="19">
        <f>8+7</f>
        <v>15</v>
      </c>
      <c r="K13" s="22"/>
    </row>
    <row r="14" spans="1:12" ht="24" customHeight="1" x14ac:dyDescent="0.15">
      <c r="A14" s="293" t="s">
        <v>116</v>
      </c>
      <c r="B14" s="19" t="s">
        <v>128</v>
      </c>
      <c r="C14" s="19">
        <f t="shared" si="3"/>
        <v>25</v>
      </c>
      <c r="D14" s="19"/>
      <c r="E14" s="19"/>
      <c r="F14" s="19"/>
      <c r="G14" s="19"/>
      <c r="H14" s="19"/>
      <c r="I14" s="19"/>
      <c r="J14" s="19">
        <f>25+0</f>
        <v>25</v>
      </c>
      <c r="K14" s="22"/>
    </row>
    <row r="15" spans="1:12" ht="24" customHeight="1" x14ac:dyDescent="0.15">
      <c r="A15" s="293"/>
      <c r="B15" s="19" t="s">
        <v>70</v>
      </c>
      <c r="C15" s="19">
        <f t="shared" si="3"/>
        <v>31</v>
      </c>
      <c r="D15" s="19"/>
      <c r="E15" s="19"/>
      <c r="F15" s="19"/>
      <c r="G15" s="19"/>
      <c r="H15" s="19"/>
      <c r="I15" s="19"/>
      <c r="J15" s="19">
        <f>25+6</f>
        <v>31</v>
      </c>
      <c r="K15" s="22"/>
    </row>
    <row r="16" spans="1:12" ht="24" customHeight="1" x14ac:dyDescent="0.15">
      <c r="A16" s="293"/>
      <c r="B16" s="19" t="s">
        <v>198</v>
      </c>
      <c r="C16" s="19">
        <f t="shared" si="3"/>
        <v>31</v>
      </c>
      <c r="D16" s="19"/>
      <c r="E16" s="19"/>
      <c r="F16" s="19"/>
      <c r="G16" s="19"/>
      <c r="H16" s="19"/>
      <c r="I16" s="19"/>
      <c r="J16" s="19">
        <f>25+6</f>
        <v>31</v>
      </c>
      <c r="K16" s="22"/>
    </row>
    <row r="17" spans="1:11" ht="24" customHeight="1" x14ac:dyDescent="0.15">
      <c r="A17" s="293" t="s">
        <v>5</v>
      </c>
      <c r="B17" s="19" t="s">
        <v>128</v>
      </c>
      <c r="C17" s="19">
        <f t="shared" si="3"/>
        <v>283</v>
      </c>
      <c r="D17" s="19"/>
      <c r="E17" s="19"/>
      <c r="F17" s="19"/>
      <c r="G17" s="19"/>
      <c r="H17" s="19"/>
      <c r="I17" s="19">
        <f>48+0+15+25</f>
        <v>88</v>
      </c>
      <c r="J17" s="19">
        <f>42+46+4+50+49+2+2</f>
        <v>195</v>
      </c>
      <c r="K17" s="22"/>
    </row>
    <row r="18" spans="1:11" ht="24" customHeight="1" x14ac:dyDescent="0.15">
      <c r="A18" s="293"/>
      <c r="B18" s="19" t="s">
        <v>70</v>
      </c>
      <c r="C18" s="19">
        <f t="shared" si="3"/>
        <v>540</v>
      </c>
      <c r="D18" s="19"/>
      <c r="E18" s="19"/>
      <c r="F18" s="19"/>
      <c r="G18" s="19"/>
      <c r="H18" s="19"/>
      <c r="I18" s="19">
        <f>48+19+31+27+7</f>
        <v>132</v>
      </c>
      <c r="J18" s="19">
        <f>42+46+4+54+101+54+3+38+48+18</f>
        <v>408</v>
      </c>
      <c r="K18" s="22"/>
    </row>
    <row r="19" spans="1:11" ht="24" customHeight="1" x14ac:dyDescent="0.15">
      <c r="A19" s="293"/>
      <c r="B19" s="19" t="s">
        <v>198</v>
      </c>
      <c r="C19" s="19">
        <f t="shared" si="3"/>
        <v>540</v>
      </c>
      <c r="D19" s="19"/>
      <c r="E19" s="19"/>
      <c r="F19" s="19"/>
      <c r="G19" s="19"/>
      <c r="H19" s="19"/>
      <c r="I19" s="19">
        <f>48+19+31+27+7</f>
        <v>132</v>
      </c>
      <c r="J19" s="19">
        <f>42+46+4+54+101+54+3+38+48+18</f>
        <v>408</v>
      </c>
      <c r="K19" s="22"/>
    </row>
    <row r="20" spans="1:11" ht="24" customHeight="1" x14ac:dyDescent="0.15">
      <c r="A20" s="298" t="s">
        <v>13</v>
      </c>
      <c r="B20" s="19" t="s">
        <v>128</v>
      </c>
      <c r="C20" s="19">
        <f t="shared" si="3"/>
        <v>430</v>
      </c>
      <c r="D20" s="19"/>
      <c r="E20" s="19"/>
      <c r="F20" s="19"/>
      <c r="G20" s="19"/>
      <c r="H20" s="19"/>
      <c r="I20" s="19">
        <f>131+29+28+31+35</f>
        <v>254</v>
      </c>
      <c r="J20" s="19">
        <f>22+69+26+37+16+1+5</f>
        <v>176</v>
      </c>
      <c r="K20" s="22"/>
    </row>
    <row r="21" spans="1:11" ht="24" customHeight="1" x14ac:dyDescent="0.15">
      <c r="A21" s="304"/>
      <c r="B21" s="19" t="s">
        <v>70</v>
      </c>
      <c r="C21" s="19">
        <f t="shared" si="3"/>
        <v>796</v>
      </c>
      <c r="D21" s="19"/>
      <c r="E21" s="19"/>
      <c r="F21" s="19"/>
      <c r="G21" s="19"/>
      <c r="H21" s="19"/>
      <c r="I21" s="19">
        <f>131+40+78+45+22+57+44+3</f>
        <v>420</v>
      </c>
      <c r="J21" s="19">
        <f>22+69+29+48+69+34+46+32+27</f>
        <v>376</v>
      </c>
      <c r="K21" s="22"/>
    </row>
    <row r="22" spans="1:11" ht="24" customHeight="1" x14ac:dyDescent="0.15">
      <c r="A22" s="305"/>
      <c r="B22" s="19" t="s">
        <v>198</v>
      </c>
      <c r="C22" s="19">
        <f t="shared" si="3"/>
        <v>796</v>
      </c>
      <c r="D22" s="19"/>
      <c r="E22" s="19"/>
      <c r="F22" s="19"/>
      <c r="G22" s="19"/>
      <c r="H22" s="19"/>
      <c r="I22" s="19">
        <f>131+40+78+45+22+57+44+3</f>
        <v>420</v>
      </c>
      <c r="J22" s="19">
        <f>22+69+29+48+69+34+46+32+27</f>
        <v>376</v>
      </c>
      <c r="K22" s="22"/>
    </row>
    <row r="23" spans="1:11" ht="24" customHeight="1" x14ac:dyDescent="0.15">
      <c r="A23" s="293" t="s">
        <v>95</v>
      </c>
      <c r="B23" s="19" t="s">
        <v>128</v>
      </c>
      <c r="C23" s="19">
        <f t="shared" si="3"/>
        <v>23</v>
      </c>
      <c r="D23" s="19"/>
      <c r="E23" s="19"/>
      <c r="F23" s="19"/>
      <c r="G23" s="19"/>
      <c r="H23" s="19"/>
      <c r="I23" s="19">
        <f>3</f>
        <v>3</v>
      </c>
      <c r="J23" s="19">
        <f>20</f>
        <v>20</v>
      </c>
      <c r="K23" s="22"/>
    </row>
    <row r="24" spans="1:11" ht="24" customHeight="1" x14ac:dyDescent="0.15">
      <c r="A24" s="293"/>
      <c r="B24" s="19" t="s">
        <v>70</v>
      </c>
      <c r="C24" s="19">
        <f t="shared" si="3"/>
        <v>31</v>
      </c>
      <c r="D24" s="19"/>
      <c r="E24" s="19"/>
      <c r="F24" s="19"/>
      <c r="G24" s="19"/>
      <c r="H24" s="19"/>
      <c r="I24" s="19">
        <f>5+1</f>
        <v>6</v>
      </c>
      <c r="J24" s="19">
        <f>25</f>
        <v>25</v>
      </c>
      <c r="K24" s="22"/>
    </row>
    <row r="25" spans="1:11" ht="24" customHeight="1" x14ac:dyDescent="0.15">
      <c r="A25" s="302"/>
      <c r="B25" s="27" t="s">
        <v>198</v>
      </c>
      <c r="C25" s="27">
        <f t="shared" si="3"/>
        <v>31</v>
      </c>
      <c r="D25" s="27"/>
      <c r="E25" s="27"/>
      <c r="F25" s="27"/>
      <c r="G25" s="27"/>
      <c r="H25" s="27"/>
      <c r="I25" s="27">
        <f>5+1</f>
        <v>6</v>
      </c>
      <c r="J25" s="27">
        <f>25</f>
        <v>25</v>
      </c>
      <c r="K25" s="28"/>
    </row>
  </sheetData>
  <mergeCells count="13">
    <mergeCell ref="A23:A25"/>
    <mergeCell ref="K3:K4"/>
    <mergeCell ref="B1:E1"/>
    <mergeCell ref="B2:E2"/>
    <mergeCell ref="A3:B4"/>
    <mergeCell ref="C3:C4"/>
    <mergeCell ref="D3:J3"/>
    <mergeCell ref="A5:A7"/>
    <mergeCell ref="A8:A10"/>
    <mergeCell ref="A11:A13"/>
    <mergeCell ref="A14:A16"/>
    <mergeCell ref="A17:A19"/>
    <mergeCell ref="A20:A22"/>
  </mergeCells>
  <phoneticPr fontId="23" type="noConversion"/>
  <pageMargins left="0.47972223162651062" right="0.40000000596046448" top="1" bottom="1" header="0.50986111164093018" footer="0.5"/>
  <pageSetup paperSize="9" orientation="portrait" horizontalDpi="42949672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6DAF1"/>
  </sheetPr>
  <dimension ref="A1:AA80"/>
  <sheetViews>
    <sheetView zoomScale="106" zoomScaleNormal="106" zoomScaleSheetLayoutView="75" workbookViewId="0">
      <pane xSplit="3" ySplit="4" topLeftCell="D53" activePane="bottomRight" state="frozen"/>
      <selection pane="topRight"/>
      <selection pane="bottomLeft"/>
      <selection pane="bottomRight" activeCell="AC63" sqref="AC63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customWidth="1"/>
  </cols>
  <sheetData>
    <row r="1" spans="1:27" ht="24.75" customHeight="1" x14ac:dyDescent="0.15">
      <c r="A1" s="325" t="s">
        <v>167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153"/>
      <c r="AA1" s="153"/>
    </row>
    <row r="2" spans="1:27" ht="20.100000000000001" customHeight="1" x14ac:dyDescent="0.15">
      <c r="A2" s="326" t="s">
        <v>73</v>
      </c>
      <c r="B2" s="329" t="s">
        <v>151</v>
      </c>
      <c r="C2" s="329" t="s">
        <v>108</v>
      </c>
      <c r="D2" s="329" t="s">
        <v>94</v>
      </c>
      <c r="E2" s="329"/>
      <c r="F2" s="329"/>
      <c r="G2" s="329"/>
      <c r="H2" s="332" t="s">
        <v>158</v>
      </c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4"/>
      <c r="X2" s="151"/>
      <c r="Y2" s="151"/>
      <c r="Z2" s="151"/>
      <c r="AA2" s="152"/>
    </row>
    <row r="3" spans="1:27" ht="17.25" customHeight="1" x14ac:dyDescent="0.15">
      <c r="A3" s="327"/>
      <c r="B3" s="330"/>
      <c r="C3" s="330"/>
      <c r="D3" s="330" t="s">
        <v>134</v>
      </c>
      <c r="E3" s="330" t="s">
        <v>128</v>
      </c>
      <c r="F3" s="330" t="s">
        <v>70</v>
      </c>
      <c r="G3" s="330" t="s">
        <v>198</v>
      </c>
      <c r="H3" s="330" t="s">
        <v>122</v>
      </c>
      <c r="I3" s="335"/>
      <c r="J3" s="335"/>
      <c r="K3" s="335"/>
      <c r="L3" s="330" t="s">
        <v>106</v>
      </c>
      <c r="M3" s="330"/>
      <c r="N3" s="330"/>
      <c r="O3" s="330"/>
      <c r="P3" s="330" t="s">
        <v>7</v>
      </c>
      <c r="Q3" s="330"/>
      <c r="R3" s="330"/>
      <c r="S3" s="330"/>
      <c r="T3" s="330" t="s">
        <v>46</v>
      </c>
      <c r="U3" s="330"/>
      <c r="V3" s="330"/>
      <c r="W3" s="336"/>
      <c r="X3" s="337" t="s">
        <v>56</v>
      </c>
      <c r="Y3" s="330"/>
      <c r="Z3" s="330"/>
      <c r="AA3" s="336"/>
    </row>
    <row r="4" spans="1:27" ht="26.25" customHeight="1" x14ac:dyDescent="0.15">
      <c r="A4" s="328"/>
      <c r="B4" s="331"/>
      <c r="C4" s="331"/>
      <c r="D4" s="331"/>
      <c r="E4" s="331"/>
      <c r="F4" s="331"/>
      <c r="G4" s="331"/>
      <c r="H4" s="156" t="s">
        <v>26</v>
      </c>
      <c r="I4" s="156" t="s">
        <v>128</v>
      </c>
      <c r="J4" s="156" t="s">
        <v>70</v>
      </c>
      <c r="K4" s="64" t="s">
        <v>200</v>
      </c>
      <c r="L4" s="156" t="s">
        <v>26</v>
      </c>
      <c r="M4" s="156" t="s">
        <v>128</v>
      </c>
      <c r="N4" s="156" t="s">
        <v>70</v>
      </c>
      <c r="O4" s="64" t="s">
        <v>200</v>
      </c>
      <c r="P4" s="156" t="s">
        <v>26</v>
      </c>
      <c r="Q4" s="156" t="s">
        <v>128</v>
      </c>
      <c r="R4" s="156" t="s">
        <v>70</v>
      </c>
      <c r="S4" s="64" t="s">
        <v>200</v>
      </c>
      <c r="T4" s="65" t="s">
        <v>26</v>
      </c>
      <c r="U4" s="65" t="s">
        <v>128</v>
      </c>
      <c r="V4" s="65" t="s">
        <v>70</v>
      </c>
      <c r="W4" s="66" t="s">
        <v>200</v>
      </c>
      <c r="X4" s="146" t="s">
        <v>26</v>
      </c>
      <c r="Y4" s="65" t="s">
        <v>128</v>
      </c>
      <c r="Z4" s="65" t="s">
        <v>70</v>
      </c>
      <c r="AA4" s="66" t="s">
        <v>200</v>
      </c>
    </row>
    <row r="5" spans="1:27" ht="23.25" customHeight="1" x14ac:dyDescent="0.15">
      <c r="A5" s="340" t="s">
        <v>6</v>
      </c>
      <c r="B5" s="341"/>
      <c r="C5" s="342"/>
      <c r="D5" s="95"/>
      <c r="E5" s="96">
        <f>SUM(E6:E80)</f>
        <v>1586</v>
      </c>
      <c r="F5" s="96">
        <f>SUM(F6:F80)</f>
        <v>6239</v>
      </c>
      <c r="G5" s="96">
        <f>SUM(G6:G80)</f>
        <v>68993</v>
      </c>
      <c r="H5" s="96"/>
      <c r="I5" s="96">
        <f>SUM(I6:I80)</f>
        <v>1544</v>
      </c>
      <c r="J5" s="96">
        <f>SUM(J6:J80)</f>
        <v>1544</v>
      </c>
      <c r="K5" s="96">
        <f>SUM(K6:K80)</f>
        <v>18439</v>
      </c>
      <c r="L5" s="96"/>
      <c r="M5" s="96">
        <f>SUM(M6:M80)</f>
        <v>17</v>
      </c>
      <c r="N5" s="96">
        <f>SUM(N6:N80)</f>
        <v>1541</v>
      </c>
      <c r="O5" s="96">
        <f>SUM(O6:O80)</f>
        <v>16691</v>
      </c>
      <c r="P5" s="96"/>
      <c r="Q5" s="96">
        <f>SUM(Q6:Q80)</f>
        <v>12</v>
      </c>
      <c r="R5" s="96">
        <f>SUM(R6:R80)</f>
        <v>1641</v>
      </c>
      <c r="S5" s="96"/>
      <c r="T5" s="96"/>
      <c r="U5" s="96">
        <f>SUM(U6:U80)</f>
        <v>11</v>
      </c>
      <c r="V5" s="96">
        <f>SUM(V6:V80)</f>
        <v>1463</v>
      </c>
      <c r="W5" s="97">
        <f>SUM(W6:W80)</f>
        <v>15786</v>
      </c>
      <c r="X5" s="147"/>
      <c r="Y5" s="144">
        <f>SUM(Y6:Y80)</f>
        <v>2</v>
      </c>
      <c r="Z5" s="144">
        <f>SUM(Z6:Z80)</f>
        <v>50</v>
      </c>
      <c r="AA5" s="145">
        <f>SUM(AA6:AA80)</f>
        <v>519</v>
      </c>
    </row>
    <row r="6" spans="1:27" s="14" customFormat="1" ht="20.100000000000001" customHeight="1" x14ac:dyDescent="0.15">
      <c r="A6" s="338" t="s">
        <v>84</v>
      </c>
      <c r="B6" s="329" t="s">
        <v>111</v>
      </c>
      <c r="C6" s="154" t="s">
        <v>101</v>
      </c>
      <c r="D6" s="154">
        <v>4</v>
      </c>
      <c r="E6" s="168">
        <f>SUM(I6,M6,Q6,U6,Y6)</f>
        <v>1</v>
      </c>
      <c r="F6" s="168">
        <f t="shared" ref="F6:G6" si="0">SUM(J6,N6,R6,V6,Z6)</f>
        <v>4</v>
      </c>
      <c r="G6" s="168">
        <f t="shared" si="0"/>
        <v>70</v>
      </c>
      <c r="H6" s="98">
        <v>44258</v>
      </c>
      <c r="I6" s="99">
        <v>1</v>
      </c>
      <c r="J6" s="99">
        <v>1</v>
      </c>
      <c r="K6" s="99">
        <v>15</v>
      </c>
      <c r="L6" s="98">
        <v>44314</v>
      </c>
      <c r="M6" s="99">
        <v>0</v>
      </c>
      <c r="N6" s="99">
        <v>1</v>
      </c>
      <c r="O6" s="99">
        <v>15</v>
      </c>
      <c r="P6" s="98">
        <v>44385</v>
      </c>
      <c r="Q6" s="99">
        <v>0</v>
      </c>
      <c r="R6" s="99">
        <v>1</v>
      </c>
      <c r="S6" s="99">
        <v>20</v>
      </c>
      <c r="T6" s="98">
        <v>44495</v>
      </c>
      <c r="U6" s="99">
        <v>0</v>
      </c>
      <c r="V6" s="99">
        <v>1</v>
      </c>
      <c r="W6" s="100">
        <v>20</v>
      </c>
      <c r="X6" s="148"/>
      <c r="Y6" s="142"/>
      <c r="Z6" s="142"/>
      <c r="AA6" s="143"/>
    </row>
    <row r="7" spans="1:27" s="14" customFormat="1" ht="20.100000000000001" customHeight="1" x14ac:dyDescent="0.15">
      <c r="A7" s="339"/>
      <c r="B7" s="330"/>
      <c r="C7" s="155" t="s">
        <v>121</v>
      </c>
      <c r="D7" s="155">
        <v>4</v>
      </c>
      <c r="E7" s="54">
        <f>SUM(I7,M7,Q7,U7,Y7)</f>
        <v>62</v>
      </c>
      <c r="F7" s="54">
        <f>SUM(J7,N7,R7,V7,Z7)</f>
        <v>246</v>
      </c>
      <c r="G7" s="54">
        <f>SUM(K7,O7,S7,W7,AA7)</f>
        <v>2869</v>
      </c>
      <c r="H7" s="55">
        <v>44258</v>
      </c>
      <c r="I7" s="56">
        <v>61</v>
      </c>
      <c r="J7" s="56">
        <v>61</v>
      </c>
      <c r="K7" s="56">
        <v>827</v>
      </c>
      <c r="L7" s="55">
        <v>44312</v>
      </c>
      <c r="M7" s="56">
        <v>0</v>
      </c>
      <c r="N7" s="56">
        <v>63</v>
      </c>
      <c r="O7" s="56">
        <v>738</v>
      </c>
      <c r="P7" s="55">
        <v>44378</v>
      </c>
      <c r="Q7" s="56">
        <v>0</v>
      </c>
      <c r="R7" s="56">
        <v>62</v>
      </c>
      <c r="S7" s="56">
        <v>660</v>
      </c>
      <c r="T7" s="55">
        <v>44491</v>
      </c>
      <c r="U7" s="56">
        <v>1</v>
      </c>
      <c r="V7" s="56">
        <v>60</v>
      </c>
      <c r="W7" s="57">
        <v>644</v>
      </c>
      <c r="X7" s="149"/>
      <c r="Y7" s="56"/>
      <c r="Z7" s="56"/>
      <c r="AA7" s="57"/>
    </row>
    <row r="8" spans="1:27" s="14" customFormat="1" ht="20.100000000000001" customHeight="1" x14ac:dyDescent="0.15">
      <c r="A8" s="339"/>
      <c r="B8" s="330"/>
      <c r="C8" s="155" t="s">
        <v>146</v>
      </c>
      <c r="D8" s="155">
        <v>4</v>
      </c>
      <c r="E8" s="54">
        <f t="shared" ref="E8:E71" si="1">SUM(I8,M8,Q8,U8,Y8)</f>
        <v>47</v>
      </c>
      <c r="F8" s="54">
        <f t="shared" ref="F8:F71" si="2">SUM(J8,N8,R8,V8,Z8)</f>
        <v>208</v>
      </c>
      <c r="G8" s="54">
        <f t="shared" ref="G8:G71" si="3">SUM(K8,O8,S8,W8,AA8)</f>
        <v>2506</v>
      </c>
      <c r="H8" s="55">
        <v>44270</v>
      </c>
      <c r="I8" s="56">
        <v>47</v>
      </c>
      <c r="J8" s="56">
        <v>47</v>
      </c>
      <c r="K8" s="56">
        <v>625</v>
      </c>
      <c r="L8" s="55">
        <v>44334</v>
      </c>
      <c r="M8" s="56">
        <v>0</v>
      </c>
      <c r="N8" s="56">
        <v>54</v>
      </c>
      <c r="O8" s="56">
        <v>608</v>
      </c>
      <c r="P8" s="55">
        <v>44396</v>
      </c>
      <c r="Q8" s="56">
        <v>0</v>
      </c>
      <c r="R8" s="56">
        <v>53</v>
      </c>
      <c r="S8" s="56">
        <v>600</v>
      </c>
      <c r="T8" s="55">
        <v>44498</v>
      </c>
      <c r="U8" s="56">
        <v>0</v>
      </c>
      <c r="V8" s="56">
        <v>54</v>
      </c>
      <c r="W8" s="57">
        <v>673</v>
      </c>
      <c r="X8" s="149"/>
      <c r="Y8" s="56"/>
      <c r="Z8" s="56"/>
      <c r="AA8" s="57"/>
    </row>
    <row r="9" spans="1:27" s="14" customFormat="1" ht="20.100000000000001" customHeight="1" x14ac:dyDescent="0.15">
      <c r="A9" s="339"/>
      <c r="B9" s="155" t="s">
        <v>52</v>
      </c>
      <c r="C9" s="155" t="s">
        <v>238</v>
      </c>
      <c r="D9" s="155">
        <v>4</v>
      </c>
      <c r="E9" s="54">
        <f t="shared" si="1"/>
        <v>3</v>
      </c>
      <c r="F9" s="54">
        <f t="shared" si="2"/>
        <v>12</v>
      </c>
      <c r="G9" s="54">
        <f t="shared" si="3"/>
        <v>198</v>
      </c>
      <c r="H9" s="55">
        <v>44291</v>
      </c>
      <c r="I9" s="56">
        <v>3</v>
      </c>
      <c r="J9" s="56">
        <v>3</v>
      </c>
      <c r="K9" s="56">
        <v>52</v>
      </c>
      <c r="L9" s="55">
        <v>44364</v>
      </c>
      <c r="M9" s="56">
        <v>0</v>
      </c>
      <c r="N9" s="56">
        <v>3</v>
      </c>
      <c r="O9" s="56">
        <v>56</v>
      </c>
      <c r="P9" s="55">
        <v>44491</v>
      </c>
      <c r="Q9" s="56">
        <v>0</v>
      </c>
      <c r="R9" s="56">
        <v>3</v>
      </c>
      <c r="S9" s="56">
        <v>45</v>
      </c>
      <c r="T9" s="55">
        <v>44551</v>
      </c>
      <c r="U9" s="56">
        <v>0</v>
      </c>
      <c r="V9" s="56">
        <v>3</v>
      </c>
      <c r="W9" s="57">
        <v>45</v>
      </c>
      <c r="X9" s="149"/>
      <c r="Y9" s="56"/>
      <c r="Z9" s="56"/>
      <c r="AA9" s="57"/>
    </row>
    <row r="10" spans="1:27" s="14" customFormat="1" ht="20.100000000000001" customHeight="1" x14ac:dyDescent="0.15">
      <c r="A10" s="339"/>
      <c r="B10" s="330" t="s">
        <v>47</v>
      </c>
      <c r="C10" s="155" t="s">
        <v>86</v>
      </c>
      <c r="D10" s="155">
        <v>4</v>
      </c>
      <c r="E10" s="54">
        <f t="shared" si="1"/>
        <v>7</v>
      </c>
      <c r="F10" s="54">
        <f t="shared" si="2"/>
        <v>28</v>
      </c>
      <c r="G10" s="54">
        <f t="shared" si="3"/>
        <v>333</v>
      </c>
      <c r="H10" s="55">
        <v>44291</v>
      </c>
      <c r="I10" s="56">
        <v>7</v>
      </c>
      <c r="J10" s="56">
        <v>7</v>
      </c>
      <c r="K10" s="56">
        <v>75</v>
      </c>
      <c r="L10" s="55">
        <v>44357</v>
      </c>
      <c r="M10" s="56">
        <v>0</v>
      </c>
      <c r="N10" s="56">
        <v>7</v>
      </c>
      <c r="O10" s="56">
        <v>103</v>
      </c>
      <c r="P10" s="55">
        <v>44392</v>
      </c>
      <c r="Q10" s="56">
        <v>0</v>
      </c>
      <c r="R10" s="56">
        <v>7</v>
      </c>
      <c r="S10" s="56">
        <v>75</v>
      </c>
      <c r="T10" s="55">
        <v>44491</v>
      </c>
      <c r="U10" s="56">
        <v>0</v>
      </c>
      <c r="V10" s="56">
        <v>7</v>
      </c>
      <c r="W10" s="57">
        <v>80</v>
      </c>
      <c r="X10" s="149"/>
      <c r="Y10" s="56"/>
      <c r="Z10" s="56"/>
      <c r="AA10" s="57"/>
    </row>
    <row r="11" spans="1:27" s="14" customFormat="1" ht="20.100000000000001" customHeight="1" x14ac:dyDescent="0.15">
      <c r="A11" s="339"/>
      <c r="B11" s="330"/>
      <c r="C11" s="155" t="s">
        <v>114</v>
      </c>
      <c r="D11" s="155">
        <v>4</v>
      </c>
      <c r="E11" s="54">
        <f t="shared" si="1"/>
        <v>39</v>
      </c>
      <c r="F11" s="54">
        <f t="shared" si="2"/>
        <v>156</v>
      </c>
      <c r="G11" s="54">
        <f t="shared" si="3"/>
        <v>1482</v>
      </c>
      <c r="H11" s="55">
        <v>44267</v>
      </c>
      <c r="I11" s="56">
        <v>39</v>
      </c>
      <c r="J11" s="56">
        <v>39</v>
      </c>
      <c r="K11" s="56">
        <v>444</v>
      </c>
      <c r="L11" s="55">
        <v>44336</v>
      </c>
      <c r="M11" s="56">
        <v>0</v>
      </c>
      <c r="N11" s="56">
        <v>39</v>
      </c>
      <c r="O11" s="56">
        <v>330</v>
      </c>
      <c r="P11" s="55">
        <v>44392</v>
      </c>
      <c r="Q11" s="56">
        <v>0</v>
      </c>
      <c r="R11" s="56">
        <v>39</v>
      </c>
      <c r="S11" s="56">
        <v>315</v>
      </c>
      <c r="T11" s="55">
        <v>44491</v>
      </c>
      <c r="U11" s="56">
        <v>0</v>
      </c>
      <c r="V11" s="56">
        <v>39</v>
      </c>
      <c r="W11" s="57">
        <v>393</v>
      </c>
      <c r="X11" s="149"/>
      <c r="Y11" s="56"/>
      <c r="Z11" s="56"/>
      <c r="AA11" s="57"/>
    </row>
    <row r="12" spans="1:27" s="14" customFormat="1" ht="20.100000000000001" customHeight="1" x14ac:dyDescent="0.15">
      <c r="A12" s="339"/>
      <c r="B12" s="330"/>
      <c r="C12" s="155" t="s">
        <v>139</v>
      </c>
      <c r="D12" s="155">
        <v>4</v>
      </c>
      <c r="E12" s="54">
        <f t="shared" si="1"/>
        <v>14</v>
      </c>
      <c r="F12" s="54">
        <f t="shared" si="2"/>
        <v>55</v>
      </c>
      <c r="G12" s="54">
        <f t="shared" si="3"/>
        <v>621</v>
      </c>
      <c r="H12" s="55">
        <v>44267</v>
      </c>
      <c r="I12" s="56">
        <v>14</v>
      </c>
      <c r="J12" s="56">
        <v>14</v>
      </c>
      <c r="K12" s="56">
        <v>191</v>
      </c>
      <c r="L12" s="55">
        <v>44342</v>
      </c>
      <c r="M12" s="56">
        <v>0</v>
      </c>
      <c r="N12" s="56">
        <v>14</v>
      </c>
      <c r="O12" s="56">
        <v>140</v>
      </c>
      <c r="P12" s="55">
        <v>44477</v>
      </c>
      <c r="Q12" s="56">
        <v>0</v>
      </c>
      <c r="R12" s="56">
        <v>14</v>
      </c>
      <c r="S12" s="56">
        <v>145</v>
      </c>
      <c r="T12" s="55">
        <v>44539</v>
      </c>
      <c r="U12" s="56">
        <v>0</v>
      </c>
      <c r="V12" s="56">
        <v>13</v>
      </c>
      <c r="W12" s="57">
        <v>145</v>
      </c>
      <c r="X12" s="149"/>
      <c r="Y12" s="56"/>
      <c r="Z12" s="56"/>
      <c r="AA12" s="57"/>
    </row>
    <row r="13" spans="1:27" s="14" customFormat="1" ht="20.100000000000001" customHeight="1" x14ac:dyDescent="0.15">
      <c r="A13" s="339"/>
      <c r="B13" s="330"/>
      <c r="C13" s="155" t="s">
        <v>126</v>
      </c>
      <c r="D13" s="155">
        <v>4</v>
      </c>
      <c r="E13" s="54">
        <f t="shared" si="1"/>
        <v>8</v>
      </c>
      <c r="F13" s="54">
        <f t="shared" si="2"/>
        <v>32</v>
      </c>
      <c r="G13" s="54">
        <f t="shared" si="3"/>
        <v>447</v>
      </c>
      <c r="H13" s="55">
        <v>44291</v>
      </c>
      <c r="I13" s="56">
        <v>8</v>
      </c>
      <c r="J13" s="56">
        <v>8</v>
      </c>
      <c r="K13" s="56">
        <v>95</v>
      </c>
      <c r="L13" s="55">
        <v>44357</v>
      </c>
      <c r="M13" s="56">
        <v>0</v>
      </c>
      <c r="N13" s="56">
        <v>8</v>
      </c>
      <c r="O13" s="56">
        <v>137</v>
      </c>
      <c r="P13" s="55">
        <v>44477</v>
      </c>
      <c r="Q13" s="56">
        <v>0</v>
      </c>
      <c r="R13" s="56">
        <v>8</v>
      </c>
      <c r="S13" s="56">
        <v>105</v>
      </c>
      <c r="T13" s="55">
        <v>44539</v>
      </c>
      <c r="U13" s="56">
        <v>0</v>
      </c>
      <c r="V13" s="56">
        <v>8</v>
      </c>
      <c r="W13" s="57">
        <v>110</v>
      </c>
      <c r="X13" s="149"/>
      <c r="Y13" s="56"/>
      <c r="Z13" s="56"/>
      <c r="AA13" s="57"/>
    </row>
    <row r="14" spans="1:27" s="14" customFormat="1" ht="20.100000000000001" customHeight="1" x14ac:dyDescent="0.15">
      <c r="A14" s="339"/>
      <c r="B14" s="330"/>
      <c r="C14" s="155" t="s">
        <v>48</v>
      </c>
      <c r="D14" s="155">
        <v>4</v>
      </c>
      <c r="E14" s="54">
        <f t="shared" si="1"/>
        <v>23</v>
      </c>
      <c r="F14" s="54">
        <f t="shared" si="2"/>
        <v>96</v>
      </c>
      <c r="G14" s="54">
        <f t="shared" si="3"/>
        <v>956</v>
      </c>
      <c r="H14" s="55">
        <v>44280</v>
      </c>
      <c r="I14" s="56">
        <v>23</v>
      </c>
      <c r="J14" s="56">
        <v>23</v>
      </c>
      <c r="K14" s="56">
        <v>230</v>
      </c>
      <c r="L14" s="55">
        <v>44342</v>
      </c>
      <c r="M14" s="56">
        <v>0</v>
      </c>
      <c r="N14" s="56">
        <v>25</v>
      </c>
      <c r="O14" s="56">
        <v>145</v>
      </c>
      <c r="P14" s="55">
        <v>44463</v>
      </c>
      <c r="Q14" s="56">
        <v>0</v>
      </c>
      <c r="R14" s="56">
        <v>24</v>
      </c>
      <c r="S14" s="56">
        <v>355</v>
      </c>
      <c r="T14" s="55">
        <v>44537</v>
      </c>
      <c r="U14" s="56">
        <v>0</v>
      </c>
      <c r="V14" s="56">
        <v>24</v>
      </c>
      <c r="W14" s="57">
        <v>226</v>
      </c>
      <c r="X14" s="149"/>
      <c r="Y14" s="56"/>
      <c r="Z14" s="56"/>
      <c r="AA14" s="57"/>
    </row>
    <row r="15" spans="1:27" s="14" customFormat="1" ht="20.100000000000001" customHeight="1" x14ac:dyDescent="0.15">
      <c r="A15" s="339"/>
      <c r="B15" s="330"/>
      <c r="C15" s="155" t="s">
        <v>145</v>
      </c>
      <c r="D15" s="155">
        <v>4</v>
      </c>
      <c r="E15" s="54">
        <f t="shared" si="1"/>
        <v>32</v>
      </c>
      <c r="F15" s="54">
        <f t="shared" si="2"/>
        <v>124</v>
      </c>
      <c r="G15" s="54">
        <f t="shared" si="3"/>
        <v>1541</v>
      </c>
      <c r="H15" s="55">
        <v>44280</v>
      </c>
      <c r="I15" s="56">
        <v>32</v>
      </c>
      <c r="J15" s="56">
        <v>32</v>
      </c>
      <c r="K15" s="56">
        <v>321</v>
      </c>
      <c r="L15" s="55">
        <v>44347</v>
      </c>
      <c r="M15" s="56">
        <v>0</v>
      </c>
      <c r="N15" s="56">
        <v>32</v>
      </c>
      <c r="O15" s="56">
        <v>365</v>
      </c>
      <c r="P15" s="55">
        <v>44463</v>
      </c>
      <c r="Q15" s="56">
        <v>0</v>
      </c>
      <c r="R15" s="56">
        <v>30</v>
      </c>
      <c r="S15" s="56">
        <v>495</v>
      </c>
      <c r="T15" s="55">
        <v>44537</v>
      </c>
      <c r="U15" s="56">
        <v>0</v>
      </c>
      <c r="V15" s="56">
        <v>30</v>
      </c>
      <c r="W15" s="57">
        <v>360</v>
      </c>
      <c r="X15" s="149"/>
      <c r="Y15" s="56"/>
      <c r="Z15" s="56"/>
      <c r="AA15" s="57"/>
    </row>
    <row r="16" spans="1:27" s="14" customFormat="1" ht="20.100000000000001" customHeight="1" x14ac:dyDescent="0.15">
      <c r="A16" s="339"/>
      <c r="B16" s="330" t="s">
        <v>89</v>
      </c>
      <c r="C16" s="159" t="s">
        <v>214</v>
      </c>
      <c r="D16" s="155">
        <v>4</v>
      </c>
      <c r="E16" s="54">
        <f t="shared" si="1"/>
        <v>13</v>
      </c>
      <c r="F16" s="54">
        <f t="shared" si="2"/>
        <v>45</v>
      </c>
      <c r="G16" s="54">
        <f t="shared" si="3"/>
        <v>673</v>
      </c>
      <c r="H16" s="55">
        <v>44270</v>
      </c>
      <c r="I16" s="56">
        <v>10</v>
      </c>
      <c r="J16" s="56">
        <v>10</v>
      </c>
      <c r="K16" s="56">
        <v>153</v>
      </c>
      <c r="L16" s="55">
        <v>44370</v>
      </c>
      <c r="M16" s="56">
        <v>2</v>
      </c>
      <c r="N16" s="56">
        <v>12</v>
      </c>
      <c r="O16" s="56">
        <v>155</v>
      </c>
      <c r="P16" s="55">
        <v>44490</v>
      </c>
      <c r="Q16" s="56">
        <v>0</v>
      </c>
      <c r="R16" s="56">
        <v>12</v>
      </c>
      <c r="S16" s="56">
        <v>225</v>
      </c>
      <c r="T16" s="55">
        <v>44529</v>
      </c>
      <c r="U16" s="56">
        <v>1</v>
      </c>
      <c r="V16" s="56">
        <v>11</v>
      </c>
      <c r="W16" s="57">
        <v>140</v>
      </c>
      <c r="X16" s="149"/>
      <c r="Y16" s="56"/>
      <c r="Z16" s="56"/>
      <c r="AA16" s="57"/>
    </row>
    <row r="17" spans="1:27" s="14" customFormat="1" ht="20.100000000000001" customHeight="1" x14ac:dyDescent="0.15">
      <c r="A17" s="339"/>
      <c r="B17" s="330"/>
      <c r="C17" s="159" t="s">
        <v>201</v>
      </c>
      <c r="D17" s="155">
        <v>4</v>
      </c>
      <c r="E17" s="54">
        <f t="shared" si="1"/>
        <v>26</v>
      </c>
      <c r="F17" s="54">
        <f t="shared" si="2"/>
        <v>98</v>
      </c>
      <c r="G17" s="54">
        <f t="shared" si="3"/>
        <v>1256</v>
      </c>
      <c r="H17" s="55">
        <v>44270</v>
      </c>
      <c r="I17" s="56">
        <v>23</v>
      </c>
      <c r="J17" s="56">
        <v>23</v>
      </c>
      <c r="K17" s="56">
        <v>351</v>
      </c>
      <c r="L17" s="55">
        <v>44370</v>
      </c>
      <c r="M17" s="56">
        <v>0</v>
      </c>
      <c r="N17" s="56">
        <v>24</v>
      </c>
      <c r="O17" s="56">
        <v>315</v>
      </c>
      <c r="P17" s="55">
        <v>44490</v>
      </c>
      <c r="Q17" s="56">
        <v>1</v>
      </c>
      <c r="R17" s="56">
        <v>24</v>
      </c>
      <c r="S17" s="56">
        <v>240</v>
      </c>
      <c r="T17" s="55">
        <v>44529</v>
      </c>
      <c r="U17" s="56">
        <v>2</v>
      </c>
      <c r="V17" s="56">
        <v>27</v>
      </c>
      <c r="W17" s="57">
        <v>350</v>
      </c>
      <c r="X17" s="149"/>
      <c r="Y17" s="56"/>
      <c r="Z17" s="56"/>
      <c r="AA17" s="57"/>
    </row>
    <row r="18" spans="1:27" s="14" customFormat="1" ht="20.100000000000001" customHeight="1" x14ac:dyDescent="0.15">
      <c r="A18" s="339"/>
      <c r="B18" s="330" t="s">
        <v>97</v>
      </c>
      <c r="C18" s="155" t="s">
        <v>21</v>
      </c>
      <c r="D18" s="155">
        <v>4</v>
      </c>
      <c r="E18" s="54">
        <f t="shared" si="1"/>
        <v>14</v>
      </c>
      <c r="F18" s="54">
        <f t="shared" si="2"/>
        <v>52</v>
      </c>
      <c r="G18" s="54">
        <f t="shared" si="3"/>
        <v>610</v>
      </c>
      <c r="H18" s="55">
        <v>44231</v>
      </c>
      <c r="I18" s="56">
        <v>14</v>
      </c>
      <c r="J18" s="56">
        <v>14</v>
      </c>
      <c r="K18" s="56">
        <v>177</v>
      </c>
      <c r="L18" s="55">
        <v>44294</v>
      </c>
      <c r="M18" s="56">
        <v>0</v>
      </c>
      <c r="N18" s="56">
        <v>13</v>
      </c>
      <c r="O18" s="56">
        <v>140</v>
      </c>
      <c r="P18" s="55">
        <v>44371</v>
      </c>
      <c r="Q18" s="56">
        <v>0</v>
      </c>
      <c r="R18" s="56">
        <v>13</v>
      </c>
      <c r="S18" s="56">
        <v>153</v>
      </c>
      <c r="T18" s="55">
        <v>44495</v>
      </c>
      <c r="U18" s="56">
        <v>0</v>
      </c>
      <c r="V18" s="56">
        <v>12</v>
      </c>
      <c r="W18" s="57">
        <v>140</v>
      </c>
      <c r="X18" s="149"/>
      <c r="Y18" s="56"/>
      <c r="Z18" s="56"/>
      <c r="AA18" s="57"/>
    </row>
    <row r="19" spans="1:27" s="14" customFormat="1" ht="20.100000000000001" customHeight="1" x14ac:dyDescent="0.15">
      <c r="A19" s="339"/>
      <c r="B19" s="330"/>
      <c r="C19" s="155" t="s">
        <v>35</v>
      </c>
      <c r="D19" s="155">
        <v>4</v>
      </c>
      <c r="E19" s="54">
        <f t="shared" si="1"/>
        <v>29</v>
      </c>
      <c r="F19" s="54">
        <f t="shared" si="2"/>
        <v>109</v>
      </c>
      <c r="G19" s="54">
        <f t="shared" si="3"/>
        <v>1034</v>
      </c>
      <c r="H19" s="55">
        <v>44252</v>
      </c>
      <c r="I19" s="56">
        <v>29</v>
      </c>
      <c r="J19" s="56">
        <v>29</v>
      </c>
      <c r="K19" s="56">
        <v>300</v>
      </c>
      <c r="L19" s="55">
        <v>44314</v>
      </c>
      <c r="M19" s="56">
        <v>0</v>
      </c>
      <c r="N19" s="56">
        <v>19</v>
      </c>
      <c r="O19" s="56">
        <v>193</v>
      </c>
      <c r="P19" s="55">
        <v>44384</v>
      </c>
      <c r="Q19" s="56">
        <v>0</v>
      </c>
      <c r="R19" s="56">
        <v>30</v>
      </c>
      <c r="S19" s="56">
        <v>230</v>
      </c>
      <c r="T19" s="55">
        <v>44496</v>
      </c>
      <c r="U19" s="56">
        <v>0</v>
      </c>
      <c r="V19" s="56">
        <v>31</v>
      </c>
      <c r="W19" s="57">
        <v>311</v>
      </c>
      <c r="X19" s="149"/>
      <c r="Y19" s="56"/>
      <c r="Z19" s="56"/>
      <c r="AA19" s="57"/>
    </row>
    <row r="20" spans="1:27" s="14" customFormat="1" ht="20.100000000000001" customHeight="1" x14ac:dyDescent="0.15">
      <c r="A20" s="339"/>
      <c r="B20" s="330"/>
      <c r="C20" s="155" t="s">
        <v>4</v>
      </c>
      <c r="D20" s="155">
        <v>4</v>
      </c>
      <c r="E20" s="54">
        <f t="shared" si="1"/>
        <v>13</v>
      </c>
      <c r="F20" s="54">
        <f t="shared" si="2"/>
        <v>55</v>
      </c>
      <c r="G20" s="54">
        <f t="shared" si="3"/>
        <v>647</v>
      </c>
      <c r="H20" s="55">
        <v>44252</v>
      </c>
      <c r="I20" s="56">
        <v>13</v>
      </c>
      <c r="J20" s="56">
        <v>13</v>
      </c>
      <c r="K20" s="56">
        <v>177</v>
      </c>
      <c r="L20" s="55">
        <v>44308</v>
      </c>
      <c r="M20" s="56">
        <v>0</v>
      </c>
      <c r="N20" s="56">
        <v>14</v>
      </c>
      <c r="O20" s="56">
        <v>165</v>
      </c>
      <c r="P20" s="55">
        <v>44382</v>
      </c>
      <c r="Q20" s="56">
        <v>0</v>
      </c>
      <c r="R20" s="56">
        <v>14</v>
      </c>
      <c r="S20" s="56">
        <v>145</v>
      </c>
      <c r="T20" s="55">
        <v>44496</v>
      </c>
      <c r="U20" s="56">
        <v>0</v>
      </c>
      <c r="V20" s="56">
        <v>14</v>
      </c>
      <c r="W20" s="57">
        <v>160</v>
      </c>
      <c r="X20" s="149"/>
      <c r="Y20" s="56"/>
      <c r="Z20" s="56"/>
      <c r="AA20" s="57"/>
    </row>
    <row r="21" spans="1:27" s="14" customFormat="1" ht="20.100000000000001" customHeight="1" x14ac:dyDescent="0.15">
      <c r="A21" s="339"/>
      <c r="B21" s="330" t="s">
        <v>92</v>
      </c>
      <c r="C21" s="155" t="s">
        <v>23</v>
      </c>
      <c r="D21" s="155">
        <v>4</v>
      </c>
      <c r="E21" s="54">
        <f t="shared" si="1"/>
        <v>16</v>
      </c>
      <c r="F21" s="54">
        <f t="shared" si="2"/>
        <v>51</v>
      </c>
      <c r="G21" s="54">
        <f t="shared" si="3"/>
        <v>581</v>
      </c>
      <c r="H21" s="55">
        <v>44231</v>
      </c>
      <c r="I21" s="56">
        <v>15</v>
      </c>
      <c r="J21" s="56">
        <v>15</v>
      </c>
      <c r="K21" s="56">
        <v>151</v>
      </c>
      <c r="L21" s="55">
        <v>44294</v>
      </c>
      <c r="M21" s="56">
        <v>0</v>
      </c>
      <c r="N21" s="56">
        <v>12</v>
      </c>
      <c r="O21" s="56">
        <v>125</v>
      </c>
      <c r="P21" s="55">
        <v>44371</v>
      </c>
      <c r="Q21" s="56">
        <v>1</v>
      </c>
      <c r="R21" s="56">
        <v>12</v>
      </c>
      <c r="S21" s="56">
        <v>135</v>
      </c>
      <c r="T21" s="55">
        <v>44495</v>
      </c>
      <c r="U21" s="56">
        <v>0</v>
      </c>
      <c r="V21" s="56">
        <v>12</v>
      </c>
      <c r="W21" s="57">
        <v>170</v>
      </c>
      <c r="X21" s="149"/>
      <c r="Y21" s="56"/>
      <c r="Z21" s="56"/>
      <c r="AA21" s="57"/>
    </row>
    <row r="22" spans="1:27" s="14" customFormat="1" ht="20.100000000000001" customHeight="1" x14ac:dyDescent="0.15">
      <c r="A22" s="339"/>
      <c r="B22" s="330"/>
      <c r="C22" s="155" t="s">
        <v>124</v>
      </c>
      <c r="D22" s="155">
        <v>4</v>
      </c>
      <c r="E22" s="54">
        <f t="shared" si="1"/>
        <v>10</v>
      </c>
      <c r="F22" s="54">
        <f t="shared" si="2"/>
        <v>40</v>
      </c>
      <c r="G22" s="54">
        <f t="shared" si="3"/>
        <v>542</v>
      </c>
      <c r="H22" s="55">
        <v>44252</v>
      </c>
      <c r="I22" s="56">
        <v>10</v>
      </c>
      <c r="J22" s="56">
        <v>10</v>
      </c>
      <c r="K22" s="56">
        <v>132</v>
      </c>
      <c r="L22" s="55">
        <v>44308</v>
      </c>
      <c r="M22" s="56">
        <v>0</v>
      </c>
      <c r="N22" s="56">
        <v>10</v>
      </c>
      <c r="O22" s="56">
        <v>129</v>
      </c>
      <c r="P22" s="55">
        <v>44377</v>
      </c>
      <c r="Q22" s="56">
        <v>0</v>
      </c>
      <c r="R22" s="56">
        <v>10</v>
      </c>
      <c r="S22" s="56">
        <v>150</v>
      </c>
      <c r="T22" s="55">
        <v>44496</v>
      </c>
      <c r="U22" s="56">
        <v>0</v>
      </c>
      <c r="V22" s="56">
        <v>10</v>
      </c>
      <c r="W22" s="57">
        <v>131</v>
      </c>
      <c r="X22" s="149"/>
      <c r="Y22" s="56"/>
      <c r="Z22" s="56"/>
      <c r="AA22" s="57"/>
    </row>
    <row r="23" spans="1:27" s="14" customFormat="1" ht="20.100000000000001" customHeight="1" x14ac:dyDescent="0.15">
      <c r="A23" s="339"/>
      <c r="B23" s="330"/>
      <c r="C23" s="155" t="s">
        <v>32</v>
      </c>
      <c r="D23" s="155">
        <v>4</v>
      </c>
      <c r="E23" s="54">
        <f t="shared" si="1"/>
        <v>9</v>
      </c>
      <c r="F23" s="54">
        <f t="shared" si="2"/>
        <v>37</v>
      </c>
      <c r="G23" s="54">
        <f t="shared" si="3"/>
        <v>393</v>
      </c>
      <c r="H23" s="55">
        <v>44237</v>
      </c>
      <c r="I23" s="56">
        <v>9</v>
      </c>
      <c r="J23" s="56">
        <v>9</v>
      </c>
      <c r="K23" s="56">
        <v>94</v>
      </c>
      <c r="L23" s="55">
        <v>44294</v>
      </c>
      <c r="M23" s="56">
        <v>0</v>
      </c>
      <c r="N23" s="56">
        <v>9</v>
      </c>
      <c r="O23" s="56">
        <v>95</v>
      </c>
      <c r="P23" s="55">
        <v>44371</v>
      </c>
      <c r="Q23" s="56">
        <v>0</v>
      </c>
      <c r="R23" s="56">
        <v>9</v>
      </c>
      <c r="S23" s="56">
        <v>104</v>
      </c>
      <c r="T23" s="55">
        <v>44495</v>
      </c>
      <c r="U23" s="56">
        <v>0</v>
      </c>
      <c r="V23" s="56">
        <v>10</v>
      </c>
      <c r="W23" s="57">
        <v>100</v>
      </c>
      <c r="X23" s="149"/>
      <c r="Y23" s="56"/>
      <c r="Z23" s="56"/>
      <c r="AA23" s="57"/>
    </row>
    <row r="24" spans="1:27" s="14" customFormat="1" ht="20.100000000000001" customHeight="1" x14ac:dyDescent="0.15">
      <c r="A24" s="343" t="s">
        <v>8</v>
      </c>
      <c r="B24" s="155" t="s">
        <v>59</v>
      </c>
      <c r="C24" s="155" t="s">
        <v>39</v>
      </c>
      <c r="D24" s="155">
        <v>5</v>
      </c>
      <c r="E24" s="54">
        <f t="shared" si="1"/>
        <v>1</v>
      </c>
      <c r="F24" s="54">
        <f t="shared" si="2"/>
        <v>5</v>
      </c>
      <c r="G24" s="54">
        <f t="shared" si="3"/>
        <v>70</v>
      </c>
      <c r="H24" s="55">
        <v>44260</v>
      </c>
      <c r="I24" s="56">
        <v>1</v>
      </c>
      <c r="J24" s="56">
        <v>1</v>
      </c>
      <c r="K24" s="56">
        <v>15</v>
      </c>
      <c r="L24" s="55">
        <v>44323</v>
      </c>
      <c r="M24" s="56">
        <v>0</v>
      </c>
      <c r="N24" s="56">
        <v>1</v>
      </c>
      <c r="O24" s="56">
        <v>10</v>
      </c>
      <c r="P24" s="55">
        <v>44393</v>
      </c>
      <c r="Q24" s="56">
        <v>0</v>
      </c>
      <c r="R24" s="56">
        <v>1</v>
      </c>
      <c r="S24" s="56">
        <v>15</v>
      </c>
      <c r="T24" s="55">
        <v>44503</v>
      </c>
      <c r="U24" s="56">
        <v>0</v>
      </c>
      <c r="V24" s="56">
        <v>1</v>
      </c>
      <c r="W24" s="57">
        <v>15</v>
      </c>
      <c r="X24" s="149">
        <v>44554</v>
      </c>
      <c r="Y24" s="56">
        <v>0</v>
      </c>
      <c r="Z24" s="56">
        <v>1</v>
      </c>
      <c r="AA24" s="57">
        <v>15</v>
      </c>
    </row>
    <row r="25" spans="1:27" s="14" customFormat="1" ht="20.100000000000001" customHeight="1" x14ac:dyDescent="0.15">
      <c r="A25" s="344"/>
      <c r="B25" s="155" t="s">
        <v>102</v>
      </c>
      <c r="C25" s="155" t="s">
        <v>16</v>
      </c>
      <c r="D25" s="58">
        <v>4</v>
      </c>
      <c r="E25" s="54">
        <f t="shared" si="1"/>
        <v>42</v>
      </c>
      <c r="F25" s="54">
        <f t="shared" si="2"/>
        <v>166</v>
      </c>
      <c r="G25" s="54">
        <f t="shared" si="3"/>
        <v>1207</v>
      </c>
      <c r="H25" s="55">
        <v>44253</v>
      </c>
      <c r="I25" s="56">
        <v>41</v>
      </c>
      <c r="J25" s="56">
        <v>41</v>
      </c>
      <c r="K25" s="56">
        <v>330</v>
      </c>
      <c r="L25" s="55">
        <v>44315</v>
      </c>
      <c r="M25" s="56">
        <v>1</v>
      </c>
      <c r="N25" s="56">
        <v>43</v>
      </c>
      <c r="O25" s="56">
        <v>320</v>
      </c>
      <c r="P25" s="55">
        <v>44400</v>
      </c>
      <c r="Q25" s="56">
        <v>0</v>
      </c>
      <c r="R25" s="56">
        <v>41</v>
      </c>
      <c r="S25" s="56">
        <v>285</v>
      </c>
      <c r="T25" s="55">
        <v>44503</v>
      </c>
      <c r="U25" s="56">
        <v>0</v>
      </c>
      <c r="V25" s="56">
        <v>41</v>
      </c>
      <c r="W25" s="57">
        <v>272</v>
      </c>
      <c r="X25" s="149"/>
      <c r="Y25" s="56"/>
      <c r="Z25" s="56"/>
      <c r="AA25" s="57"/>
    </row>
    <row r="26" spans="1:27" s="14" customFormat="1" ht="20.100000000000001" customHeight="1" x14ac:dyDescent="0.15">
      <c r="A26" s="339" t="s">
        <v>8</v>
      </c>
      <c r="B26" s="330" t="s">
        <v>102</v>
      </c>
      <c r="C26" s="155" t="s">
        <v>45</v>
      </c>
      <c r="D26" s="155">
        <v>4</v>
      </c>
      <c r="E26" s="54">
        <f t="shared" si="1"/>
        <v>25</v>
      </c>
      <c r="F26" s="54">
        <f t="shared" si="2"/>
        <v>103</v>
      </c>
      <c r="G26" s="54">
        <f t="shared" si="3"/>
        <v>792</v>
      </c>
      <c r="H26" s="55">
        <v>44253</v>
      </c>
      <c r="I26" s="56">
        <v>25</v>
      </c>
      <c r="J26" s="56">
        <v>25</v>
      </c>
      <c r="K26" s="56">
        <v>142</v>
      </c>
      <c r="L26" s="55">
        <v>44315</v>
      </c>
      <c r="M26" s="56">
        <v>0</v>
      </c>
      <c r="N26" s="56">
        <v>26</v>
      </c>
      <c r="O26" s="56">
        <v>235</v>
      </c>
      <c r="P26" s="55">
        <v>44399</v>
      </c>
      <c r="Q26" s="56">
        <v>0</v>
      </c>
      <c r="R26" s="56">
        <v>26</v>
      </c>
      <c r="S26" s="56">
        <v>210</v>
      </c>
      <c r="T26" s="55">
        <v>44502</v>
      </c>
      <c r="U26" s="56">
        <v>0</v>
      </c>
      <c r="V26" s="56">
        <v>26</v>
      </c>
      <c r="W26" s="57">
        <v>205</v>
      </c>
      <c r="X26" s="149"/>
      <c r="Y26" s="56"/>
      <c r="Z26" s="56"/>
      <c r="AA26" s="57"/>
    </row>
    <row r="27" spans="1:27" s="14" customFormat="1" ht="20.100000000000001" customHeight="1" x14ac:dyDescent="0.15">
      <c r="A27" s="339"/>
      <c r="B27" s="330"/>
      <c r="C27" s="155" t="s">
        <v>113</v>
      </c>
      <c r="D27" s="155">
        <v>4</v>
      </c>
      <c r="E27" s="54">
        <f t="shared" si="1"/>
        <v>45</v>
      </c>
      <c r="F27" s="54">
        <f t="shared" si="2"/>
        <v>172</v>
      </c>
      <c r="G27" s="54">
        <f t="shared" si="3"/>
        <v>1697</v>
      </c>
      <c r="H27" s="55">
        <v>44253</v>
      </c>
      <c r="I27" s="56">
        <v>42</v>
      </c>
      <c r="J27" s="56">
        <v>42</v>
      </c>
      <c r="K27" s="56">
        <v>430</v>
      </c>
      <c r="L27" s="55">
        <v>44316</v>
      </c>
      <c r="M27" s="56">
        <v>0</v>
      </c>
      <c r="N27" s="56">
        <v>43</v>
      </c>
      <c r="O27" s="56">
        <v>447</v>
      </c>
      <c r="P27" s="55">
        <v>44399</v>
      </c>
      <c r="Q27" s="56">
        <v>3</v>
      </c>
      <c r="R27" s="56">
        <v>45</v>
      </c>
      <c r="S27" s="56">
        <v>437</v>
      </c>
      <c r="T27" s="55">
        <v>44502</v>
      </c>
      <c r="U27" s="56">
        <v>0</v>
      </c>
      <c r="V27" s="56">
        <v>42</v>
      </c>
      <c r="W27" s="57">
        <v>383</v>
      </c>
      <c r="X27" s="149"/>
      <c r="Y27" s="56"/>
      <c r="Z27" s="56"/>
      <c r="AA27" s="57"/>
    </row>
    <row r="28" spans="1:27" s="14" customFormat="1" ht="20.100000000000001" customHeight="1" x14ac:dyDescent="0.15">
      <c r="A28" s="339" t="s">
        <v>84</v>
      </c>
      <c r="B28" s="330" t="s">
        <v>10</v>
      </c>
      <c r="C28" s="155" t="s">
        <v>138</v>
      </c>
      <c r="D28" s="155">
        <v>4</v>
      </c>
      <c r="E28" s="54">
        <f t="shared" si="1"/>
        <v>30</v>
      </c>
      <c r="F28" s="54">
        <f t="shared" si="2"/>
        <v>117</v>
      </c>
      <c r="G28" s="54">
        <f t="shared" si="3"/>
        <v>1570</v>
      </c>
      <c r="H28" s="55">
        <v>44260</v>
      </c>
      <c r="I28" s="56">
        <v>30</v>
      </c>
      <c r="J28" s="56">
        <v>30</v>
      </c>
      <c r="K28" s="56">
        <v>300</v>
      </c>
      <c r="L28" s="55">
        <v>44328</v>
      </c>
      <c r="M28" s="56">
        <v>0</v>
      </c>
      <c r="N28" s="56">
        <v>30</v>
      </c>
      <c r="O28" s="56">
        <v>405</v>
      </c>
      <c r="P28" s="55">
        <v>44410</v>
      </c>
      <c r="Q28" s="56">
        <v>0</v>
      </c>
      <c r="R28" s="56">
        <v>30</v>
      </c>
      <c r="S28" s="56">
        <v>430</v>
      </c>
      <c r="T28" s="55">
        <v>44533</v>
      </c>
      <c r="U28" s="56">
        <v>0</v>
      </c>
      <c r="V28" s="56">
        <v>27</v>
      </c>
      <c r="W28" s="57">
        <v>435</v>
      </c>
      <c r="X28" s="149"/>
      <c r="Y28" s="56"/>
      <c r="Z28" s="56"/>
      <c r="AA28" s="57"/>
    </row>
    <row r="29" spans="1:27" s="14" customFormat="1" ht="20.100000000000001" customHeight="1" x14ac:dyDescent="0.15">
      <c r="A29" s="339"/>
      <c r="B29" s="330"/>
      <c r="C29" s="155" t="s">
        <v>77</v>
      </c>
      <c r="D29" s="155">
        <v>4</v>
      </c>
      <c r="E29" s="54">
        <f t="shared" si="1"/>
        <v>18</v>
      </c>
      <c r="F29" s="54">
        <f t="shared" si="2"/>
        <v>87</v>
      </c>
      <c r="G29" s="54">
        <f t="shared" si="3"/>
        <v>735</v>
      </c>
      <c r="H29" s="55">
        <v>44230</v>
      </c>
      <c r="I29" s="56">
        <v>18</v>
      </c>
      <c r="J29" s="56">
        <v>18</v>
      </c>
      <c r="K29" s="56">
        <v>175</v>
      </c>
      <c r="L29" s="55">
        <v>44292</v>
      </c>
      <c r="M29" s="56">
        <v>0</v>
      </c>
      <c r="N29" s="56">
        <v>18</v>
      </c>
      <c r="O29" s="56">
        <v>135</v>
      </c>
      <c r="P29" s="55">
        <v>44376</v>
      </c>
      <c r="Q29" s="56">
        <v>0</v>
      </c>
      <c r="R29" s="56">
        <v>38</v>
      </c>
      <c r="S29" s="56">
        <v>297</v>
      </c>
      <c r="T29" s="55">
        <v>44501</v>
      </c>
      <c r="U29" s="56">
        <v>0</v>
      </c>
      <c r="V29" s="56">
        <v>13</v>
      </c>
      <c r="W29" s="57">
        <v>128</v>
      </c>
      <c r="X29" s="149"/>
      <c r="Y29" s="56"/>
      <c r="Z29" s="56"/>
      <c r="AA29" s="57"/>
    </row>
    <row r="30" spans="1:27" s="14" customFormat="1" ht="20.100000000000001" customHeight="1" x14ac:dyDescent="0.15">
      <c r="A30" s="339"/>
      <c r="B30" s="330"/>
      <c r="C30" s="155" t="s">
        <v>76</v>
      </c>
      <c r="D30" s="155">
        <v>4</v>
      </c>
      <c r="E30" s="54">
        <f t="shared" si="1"/>
        <v>38</v>
      </c>
      <c r="F30" s="54">
        <f t="shared" si="2"/>
        <v>119</v>
      </c>
      <c r="G30" s="54">
        <f t="shared" si="3"/>
        <v>1049</v>
      </c>
      <c r="H30" s="55">
        <v>44230</v>
      </c>
      <c r="I30" s="56">
        <v>38</v>
      </c>
      <c r="J30" s="56">
        <v>38</v>
      </c>
      <c r="K30" s="56">
        <v>332</v>
      </c>
      <c r="L30" s="55">
        <v>44292</v>
      </c>
      <c r="M30" s="56">
        <v>0</v>
      </c>
      <c r="N30" s="56">
        <v>37</v>
      </c>
      <c r="O30" s="56">
        <v>282</v>
      </c>
      <c r="P30" s="55">
        <v>44376</v>
      </c>
      <c r="Q30" s="56">
        <v>0</v>
      </c>
      <c r="R30" s="56">
        <v>17</v>
      </c>
      <c r="S30" s="56">
        <v>130</v>
      </c>
      <c r="T30" s="55">
        <v>44501</v>
      </c>
      <c r="U30" s="56">
        <v>0</v>
      </c>
      <c r="V30" s="56">
        <v>27</v>
      </c>
      <c r="W30" s="57">
        <v>305</v>
      </c>
      <c r="X30" s="149"/>
      <c r="Y30" s="56"/>
      <c r="Z30" s="56"/>
      <c r="AA30" s="57"/>
    </row>
    <row r="31" spans="1:27" s="14" customFormat="1" ht="20.100000000000001" customHeight="1" x14ac:dyDescent="0.15">
      <c r="A31" s="339"/>
      <c r="B31" s="155" t="s">
        <v>104</v>
      </c>
      <c r="C31" s="155" t="s">
        <v>67</v>
      </c>
      <c r="D31" s="155">
        <v>4</v>
      </c>
      <c r="E31" s="54">
        <f t="shared" si="1"/>
        <v>4</v>
      </c>
      <c r="F31" s="54">
        <f t="shared" si="2"/>
        <v>19</v>
      </c>
      <c r="G31" s="54">
        <f t="shared" si="3"/>
        <v>239</v>
      </c>
      <c r="H31" s="55">
        <v>44288</v>
      </c>
      <c r="I31" s="56">
        <v>4</v>
      </c>
      <c r="J31" s="56">
        <v>4</v>
      </c>
      <c r="K31" s="56">
        <v>40</v>
      </c>
      <c r="L31" s="55">
        <v>44368</v>
      </c>
      <c r="M31" s="56">
        <v>0</v>
      </c>
      <c r="N31" s="56">
        <v>5</v>
      </c>
      <c r="O31" s="56">
        <v>50</v>
      </c>
      <c r="P31" s="55">
        <v>44475</v>
      </c>
      <c r="Q31" s="56">
        <v>0</v>
      </c>
      <c r="R31" s="56">
        <v>5</v>
      </c>
      <c r="S31" s="56">
        <v>80</v>
      </c>
      <c r="T31" s="55">
        <v>44544</v>
      </c>
      <c r="U31" s="56">
        <v>0</v>
      </c>
      <c r="V31" s="56">
        <v>5</v>
      </c>
      <c r="W31" s="57">
        <v>69</v>
      </c>
      <c r="X31" s="149"/>
      <c r="Y31" s="56"/>
      <c r="Z31" s="56"/>
      <c r="AA31" s="57"/>
    </row>
    <row r="32" spans="1:27" s="14" customFormat="1" ht="20.100000000000001" customHeight="1" x14ac:dyDescent="0.15">
      <c r="A32" s="339"/>
      <c r="B32" s="330" t="s">
        <v>50</v>
      </c>
      <c r="C32" s="155" t="s">
        <v>33</v>
      </c>
      <c r="D32" s="155">
        <v>4</v>
      </c>
      <c r="E32" s="54">
        <f t="shared" si="1"/>
        <v>16</v>
      </c>
      <c r="F32" s="54">
        <f t="shared" si="2"/>
        <v>62</v>
      </c>
      <c r="G32" s="54">
        <f t="shared" si="3"/>
        <v>716</v>
      </c>
      <c r="H32" s="55">
        <v>44266</v>
      </c>
      <c r="I32" s="56">
        <v>16</v>
      </c>
      <c r="J32" s="56">
        <v>16</v>
      </c>
      <c r="K32" s="56">
        <v>206</v>
      </c>
      <c r="L32" s="55">
        <v>44333</v>
      </c>
      <c r="M32" s="56">
        <v>0</v>
      </c>
      <c r="N32" s="56">
        <v>16</v>
      </c>
      <c r="O32" s="56">
        <v>165</v>
      </c>
      <c r="P32" s="55">
        <v>44462</v>
      </c>
      <c r="Q32" s="56">
        <v>0</v>
      </c>
      <c r="R32" s="56">
        <v>15</v>
      </c>
      <c r="S32" s="56">
        <v>155</v>
      </c>
      <c r="T32" s="55">
        <v>44517</v>
      </c>
      <c r="U32" s="56">
        <v>0</v>
      </c>
      <c r="V32" s="56">
        <v>15</v>
      </c>
      <c r="W32" s="57">
        <v>190</v>
      </c>
      <c r="X32" s="149"/>
      <c r="Y32" s="56"/>
      <c r="Z32" s="56"/>
      <c r="AA32" s="57"/>
    </row>
    <row r="33" spans="1:27" s="14" customFormat="1" ht="20.100000000000001" customHeight="1" x14ac:dyDescent="0.15">
      <c r="A33" s="339"/>
      <c r="B33" s="330"/>
      <c r="C33" s="155" t="s">
        <v>207</v>
      </c>
      <c r="D33" s="155">
        <v>4</v>
      </c>
      <c r="E33" s="54">
        <f t="shared" si="1"/>
        <v>12</v>
      </c>
      <c r="F33" s="54">
        <f t="shared" si="2"/>
        <v>47</v>
      </c>
      <c r="G33" s="54">
        <f t="shared" si="3"/>
        <v>426</v>
      </c>
      <c r="H33" s="55">
        <v>44266</v>
      </c>
      <c r="I33" s="56">
        <v>12</v>
      </c>
      <c r="J33" s="56">
        <v>12</v>
      </c>
      <c r="K33" s="56">
        <v>114</v>
      </c>
      <c r="L33" s="55">
        <v>44333</v>
      </c>
      <c r="M33" s="56">
        <v>0</v>
      </c>
      <c r="N33" s="56">
        <v>12</v>
      </c>
      <c r="O33" s="56">
        <v>112</v>
      </c>
      <c r="P33" s="55">
        <v>44462</v>
      </c>
      <c r="Q33" s="56">
        <v>0</v>
      </c>
      <c r="R33" s="56">
        <v>11</v>
      </c>
      <c r="S33" s="56">
        <v>75</v>
      </c>
      <c r="T33" s="55">
        <v>44517</v>
      </c>
      <c r="U33" s="56">
        <v>0</v>
      </c>
      <c r="V33" s="56">
        <v>12</v>
      </c>
      <c r="W33" s="57">
        <v>125</v>
      </c>
      <c r="X33" s="149"/>
      <c r="Y33" s="56"/>
      <c r="Z33" s="56"/>
      <c r="AA33" s="57"/>
    </row>
    <row r="34" spans="1:27" s="14" customFormat="1" ht="20.100000000000001" customHeight="1" x14ac:dyDescent="0.15">
      <c r="A34" s="339"/>
      <c r="B34" s="330"/>
      <c r="C34" s="155" t="s">
        <v>196</v>
      </c>
      <c r="D34" s="155">
        <v>4</v>
      </c>
      <c r="E34" s="54">
        <f t="shared" si="1"/>
        <v>37</v>
      </c>
      <c r="F34" s="54">
        <f t="shared" si="2"/>
        <v>141</v>
      </c>
      <c r="G34" s="54">
        <f t="shared" si="3"/>
        <v>1912</v>
      </c>
      <c r="H34" s="55">
        <v>44266</v>
      </c>
      <c r="I34" s="56">
        <v>36</v>
      </c>
      <c r="J34" s="56">
        <v>36</v>
      </c>
      <c r="K34" s="56">
        <v>604</v>
      </c>
      <c r="L34" s="55">
        <v>44347</v>
      </c>
      <c r="M34" s="56">
        <v>1</v>
      </c>
      <c r="N34" s="56">
        <v>35</v>
      </c>
      <c r="O34" s="56">
        <v>575</v>
      </c>
      <c r="P34" s="55">
        <v>44462</v>
      </c>
      <c r="Q34" s="56">
        <v>0</v>
      </c>
      <c r="R34" s="56">
        <v>35</v>
      </c>
      <c r="S34" s="56">
        <v>370</v>
      </c>
      <c r="T34" s="55">
        <v>44517</v>
      </c>
      <c r="U34" s="56">
        <v>0</v>
      </c>
      <c r="V34" s="56">
        <v>35</v>
      </c>
      <c r="W34" s="57">
        <v>363</v>
      </c>
      <c r="X34" s="149"/>
      <c r="Y34" s="56"/>
      <c r="Z34" s="56"/>
      <c r="AA34" s="57"/>
    </row>
    <row r="35" spans="1:27" s="14" customFormat="1" ht="20.100000000000001" customHeight="1" x14ac:dyDescent="0.15">
      <c r="A35" s="339"/>
      <c r="B35" s="155" t="s">
        <v>18</v>
      </c>
      <c r="C35" s="155" t="s">
        <v>124</v>
      </c>
      <c r="D35" s="155">
        <v>3</v>
      </c>
      <c r="E35" s="54">
        <f t="shared" si="1"/>
        <v>2</v>
      </c>
      <c r="F35" s="54">
        <f t="shared" si="2"/>
        <v>6</v>
      </c>
      <c r="G35" s="54">
        <f t="shared" si="3"/>
        <v>91</v>
      </c>
      <c r="H35" s="55">
        <v>44284</v>
      </c>
      <c r="I35" s="56">
        <v>2</v>
      </c>
      <c r="J35" s="56">
        <v>2</v>
      </c>
      <c r="K35" s="56">
        <v>35</v>
      </c>
      <c r="L35" s="55">
        <v>44358</v>
      </c>
      <c r="M35" s="56">
        <v>0</v>
      </c>
      <c r="N35" s="56">
        <v>2</v>
      </c>
      <c r="O35" s="56">
        <v>31</v>
      </c>
      <c r="P35" s="55">
        <v>44476</v>
      </c>
      <c r="Q35" s="56">
        <v>0</v>
      </c>
      <c r="R35" s="56">
        <v>2</v>
      </c>
      <c r="S35" s="56">
        <v>25</v>
      </c>
      <c r="T35" s="55"/>
      <c r="U35" s="56"/>
      <c r="V35" s="56"/>
      <c r="W35" s="57"/>
      <c r="X35" s="149"/>
      <c r="Y35" s="56"/>
      <c r="Z35" s="56"/>
      <c r="AA35" s="57"/>
    </row>
    <row r="36" spans="1:27" s="14" customFormat="1" ht="20.100000000000001" customHeight="1" x14ac:dyDescent="0.15">
      <c r="A36" s="163" t="s">
        <v>3</v>
      </c>
      <c r="B36" s="155" t="s">
        <v>49</v>
      </c>
      <c r="C36" s="155" t="s">
        <v>11</v>
      </c>
      <c r="D36" s="155">
        <v>4</v>
      </c>
      <c r="E36" s="54">
        <f t="shared" si="1"/>
        <v>45</v>
      </c>
      <c r="F36" s="54">
        <f t="shared" si="2"/>
        <v>176</v>
      </c>
      <c r="G36" s="54">
        <f t="shared" si="3"/>
        <v>1850</v>
      </c>
      <c r="H36" s="55">
        <v>44258</v>
      </c>
      <c r="I36" s="56">
        <v>44</v>
      </c>
      <c r="J36" s="56">
        <v>44</v>
      </c>
      <c r="K36" s="56">
        <v>429</v>
      </c>
      <c r="L36" s="55">
        <v>44326</v>
      </c>
      <c r="M36" s="56">
        <v>0</v>
      </c>
      <c r="N36" s="56">
        <v>43</v>
      </c>
      <c r="O36" s="56">
        <v>581</v>
      </c>
      <c r="P36" s="55">
        <v>44390</v>
      </c>
      <c r="Q36" s="56">
        <v>0</v>
      </c>
      <c r="R36" s="56">
        <v>44</v>
      </c>
      <c r="S36" s="56">
        <v>440</v>
      </c>
      <c r="T36" s="55">
        <v>44501</v>
      </c>
      <c r="U36" s="56">
        <v>1</v>
      </c>
      <c r="V36" s="56">
        <v>45</v>
      </c>
      <c r="W36" s="57">
        <v>400</v>
      </c>
      <c r="X36" s="149"/>
      <c r="Y36" s="56"/>
      <c r="Z36" s="56"/>
      <c r="AA36" s="57"/>
    </row>
    <row r="37" spans="1:27" s="14" customFormat="1" ht="20.100000000000001" customHeight="1" x14ac:dyDescent="0.15">
      <c r="A37" s="339" t="s">
        <v>84</v>
      </c>
      <c r="B37" s="155" t="s">
        <v>123</v>
      </c>
      <c r="C37" s="155" t="s">
        <v>132</v>
      </c>
      <c r="D37" s="155">
        <v>4</v>
      </c>
      <c r="E37" s="54">
        <f t="shared" si="1"/>
        <v>26</v>
      </c>
      <c r="F37" s="54">
        <f t="shared" si="2"/>
        <v>103</v>
      </c>
      <c r="G37" s="54">
        <f t="shared" si="3"/>
        <v>1437</v>
      </c>
      <c r="H37" s="55">
        <v>44284</v>
      </c>
      <c r="I37" s="56">
        <v>26</v>
      </c>
      <c r="J37" s="56">
        <v>26</v>
      </c>
      <c r="K37" s="56">
        <v>318</v>
      </c>
      <c r="L37" s="55">
        <v>44356</v>
      </c>
      <c r="M37" s="56">
        <v>0</v>
      </c>
      <c r="N37" s="56">
        <v>26</v>
      </c>
      <c r="O37" s="56">
        <v>385</v>
      </c>
      <c r="P37" s="55">
        <v>44466</v>
      </c>
      <c r="Q37" s="56">
        <v>0</v>
      </c>
      <c r="R37" s="56">
        <v>25</v>
      </c>
      <c r="S37" s="56">
        <v>408</v>
      </c>
      <c r="T37" s="55">
        <v>44524</v>
      </c>
      <c r="U37" s="56">
        <v>0</v>
      </c>
      <c r="V37" s="56">
        <v>26</v>
      </c>
      <c r="W37" s="57">
        <v>326</v>
      </c>
      <c r="X37" s="149"/>
      <c r="Y37" s="56"/>
      <c r="Z37" s="56"/>
      <c r="AA37" s="57"/>
    </row>
    <row r="38" spans="1:27" s="14" customFormat="1" ht="20.100000000000001" customHeight="1" x14ac:dyDescent="0.15">
      <c r="A38" s="339"/>
      <c r="B38" s="155" t="s">
        <v>18</v>
      </c>
      <c r="C38" s="155" t="s">
        <v>216</v>
      </c>
      <c r="D38" s="155">
        <v>4</v>
      </c>
      <c r="E38" s="54">
        <f t="shared" si="1"/>
        <v>34</v>
      </c>
      <c r="F38" s="54">
        <f t="shared" si="2"/>
        <v>135</v>
      </c>
      <c r="G38" s="54">
        <f t="shared" si="3"/>
        <v>1463</v>
      </c>
      <c r="H38" s="55">
        <v>44284</v>
      </c>
      <c r="I38" s="56">
        <v>33</v>
      </c>
      <c r="J38" s="56">
        <v>33</v>
      </c>
      <c r="K38" s="56">
        <v>364</v>
      </c>
      <c r="L38" s="55">
        <v>44358</v>
      </c>
      <c r="M38" s="56">
        <v>1</v>
      </c>
      <c r="N38" s="56">
        <v>34</v>
      </c>
      <c r="O38" s="56">
        <v>472</v>
      </c>
      <c r="P38" s="55">
        <v>44476</v>
      </c>
      <c r="Q38" s="56">
        <v>0</v>
      </c>
      <c r="R38" s="56">
        <v>34</v>
      </c>
      <c r="S38" s="56">
        <v>295</v>
      </c>
      <c r="T38" s="55">
        <v>44524</v>
      </c>
      <c r="U38" s="56">
        <v>0</v>
      </c>
      <c r="V38" s="56">
        <v>34</v>
      </c>
      <c r="W38" s="57">
        <v>332</v>
      </c>
      <c r="X38" s="149"/>
      <c r="Y38" s="56"/>
      <c r="Z38" s="56"/>
      <c r="AA38" s="57"/>
    </row>
    <row r="39" spans="1:27" s="14" customFormat="1" ht="20.100000000000001" customHeight="1" x14ac:dyDescent="0.15">
      <c r="A39" s="339" t="s">
        <v>107</v>
      </c>
      <c r="B39" s="330" t="s">
        <v>152</v>
      </c>
      <c r="C39" s="155" t="s">
        <v>221</v>
      </c>
      <c r="D39" s="155">
        <v>4</v>
      </c>
      <c r="E39" s="54">
        <f t="shared" si="1"/>
        <v>1</v>
      </c>
      <c r="F39" s="54">
        <f t="shared" si="2"/>
        <v>7</v>
      </c>
      <c r="G39" s="54">
        <f t="shared" si="3"/>
        <v>116</v>
      </c>
      <c r="H39" s="55">
        <v>44273</v>
      </c>
      <c r="I39" s="56">
        <v>1</v>
      </c>
      <c r="J39" s="56">
        <v>1</v>
      </c>
      <c r="K39" s="56">
        <v>20</v>
      </c>
      <c r="L39" s="55">
        <v>44355</v>
      </c>
      <c r="M39" s="56">
        <v>0</v>
      </c>
      <c r="N39" s="56">
        <v>2</v>
      </c>
      <c r="O39" s="56">
        <v>28</v>
      </c>
      <c r="P39" s="55">
        <v>44469</v>
      </c>
      <c r="Q39" s="56">
        <v>0</v>
      </c>
      <c r="R39" s="56">
        <v>2</v>
      </c>
      <c r="S39" s="56">
        <v>38</v>
      </c>
      <c r="T39" s="55">
        <v>44504</v>
      </c>
      <c r="U39" s="56">
        <v>0</v>
      </c>
      <c r="V39" s="56">
        <v>2</v>
      </c>
      <c r="W39" s="57">
        <v>30</v>
      </c>
      <c r="X39" s="149"/>
      <c r="Y39" s="56"/>
      <c r="Z39" s="56"/>
      <c r="AA39" s="57"/>
    </row>
    <row r="40" spans="1:27" s="14" customFormat="1" ht="20.100000000000001" customHeight="1" x14ac:dyDescent="0.15">
      <c r="A40" s="339"/>
      <c r="B40" s="330"/>
      <c r="C40" s="155" t="s">
        <v>231</v>
      </c>
      <c r="D40" s="155">
        <v>4</v>
      </c>
      <c r="E40" s="54">
        <f t="shared" si="1"/>
        <v>11</v>
      </c>
      <c r="F40" s="54">
        <f t="shared" si="2"/>
        <v>44</v>
      </c>
      <c r="G40" s="54">
        <f t="shared" si="3"/>
        <v>821</v>
      </c>
      <c r="H40" s="55">
        <v>44273</v>
      </c>
      <c r="I40" s="56">
        <v>10</v>
      </c>
      <c r="J40" s="56">
        <v>10</v>
      </c>
      <c r="K40" s="56">
        <v>175</v>
      </c>
      <c r="L40" s="55">
        <v>44355</v>
      </c>
      <c r="M40" s="56">
        <v>0</v>
      </c>
      <c r="N40" s="56">
        <v>11</v>
      </c>
      <c r="O40" s="56">
        <v>221</v>
      </c>
      <c r="P40" s="55">
        <v>44469</v>
      </c>
      <c r="Q40" s="56">
        <v>0</v>
      </c>
      <c r="R40" s="56">
        <v>11</v>
      </c>
      <c r="S40" s="56">
        <v>230</v>
      </c>
      <c r="T40" s="55">
        <v>44504</v>
      </c>
      <c r="U40" s="56">
        <v>1</v>
      </c>
      <c r="V40" s="56">
        <v>12</v>
      </c>
      <c r="W40" s="57">
        <v>195</v>
      </c>
      <c r="X40" s="149"/>
      <c r="Y40" s="56"/>
      <c r="Z40" s="56"/>
      <c r="AA40" s="57"/>
    </row>
    <row r="41" spans="1:27" s="14" customFormat="1" ht="20.100000000000001" customHeight="1" x14ac:dyDescent="0.15">
      <c r="A41" s="339"/>
      <c r="B41" s="330"/>
      <c r="C41" s="155" t="s">
        <v>150</v>
      </c>
      <c r="D41" s="155">
        <v>4</v>
      </c>
      <c r="E41" s="54">
        <f t="shared" si="1"/>
        <v>5</v>
      </c>
      <c r="F41" s="54">
        <f t="shared" si="2"/>
        <v>107</v>
      </c>
      <c r="G41" s="54">
        <f t="shared" si="3"/>
        <v>330</v>
      </c>
      <c r="H41" s="55">
        <v>44273</v>
      </c>
      <c r="I41" s="56">
        <v>2</v>
      </c>
      <c r="J41" s="56">
        <v>2</v>
      </c>
      <c r="K41" s="56">
        <v>57</v>
      </c>
      <c r="L41" s="55">
        <v>44355</v>
      </c>
      <c r="M41" s="56">
        <v>3</v>
      </c>
      <c r="N41" s="56">
        <v>5</v>
      </c>
      <c r="O41" s="56">
        <v>98</v>
      </c>
      <c r="P41" s="55">
        <v>44470</v>
      </c>
      <c r="Q41" s="56">
        <v>0</v>
      </c>
      <c r="R41" s="56">
        <v>95</v>
      </c>
      <c r="S41" s="56">
        <v>100</v>
      </c>
      <c r="T41" s="55">
        <v>44504</v>
      </c>
      <c r="U41" s="56">
        <v>0</v>
      </c>
      <c r="V41" s="56">
        <v>5</v>
      </c>
      <c r="W41" s="57">
        <v>75</v>
      </c>
      <c r="X41" s="149"/>
      <c r="Y41" s="56"/>
      <c r="Z41" s="56"/>
      <c r="AA41" s="57"/>
    </row>
    <row r="42" spans="1:27" s="14" customFormat="1" ht="20.100000000000001" customHeight="1" x14ac:dyDescent="0.15">
      <c r="A42" s="339"/>
      <c r="B42" s="330"/>
      <c r="C42" s="155" t="s">
        <v>144</v>
      </c>
      <c r="D42" s="155">
        <v>4</v>
      </c>
      <c r="E42" s="54">
        <f t="shared" si="1"/>
        <v>3</v>
      </c>
      <c r="F42" s="54">
        <f t="shared" si="2"/>
        <v>12</v>
      </c>
      <c r="G42" s="54">
        <f t="shared" si="3"/>
        <v>180</v>
      </c>
      <c r="H42" s="55">
        <v>44273</v>
      </c>
      <c r="I42" s="56">
        <v>3</v>
      </c>
      <c r="J42" s="56">
        <v>3</v>
      </c>
      <c r="K42" s="56">
        <v>43</v>
      </c>
      <c r="L42" s="55">
        <v>44355</v>
      </c>
      <c r="M42" s="56">
        <v>0</v>
      </c>
      <c r="N42" s="56">
        <v>3</v>
      </c>
      <c r="O42" s="56">
        <v>42</v>
      </c>
      <c r="P42" s="55">
        <v>44470</v>
      </c>
      <c r="Q42" s="56">
        <v>0</v>
      </c>
      <c r="R42" s="56">
        <v>3</v>
      </c>
      <c r="S42" s="56">
        <v>60</v>
      </c>
      <c r="T42" s="55">
        <v>44504</v>
      </c>
      <c r="U42" s="56">
        <v>0</v>
      </c>
      <c r="V42" s="56">
        <v>3</v>
      </c>
      <c r="W42" s="57">
        <v>35</v>
      </c>
      <c r="X42" s="149"/>
      <c r="Y42" s="56"/>
      <c r="Z42" s="56"/>
      <c r="AA42" s="57"/>
    </row>
    <row r="43" spans="1:27" s="14" customFormat="1" ht="20.100000000000001" customHeight="1" x14ac:dyDescent="0.15">
      <c r="A43" s="339" t="s">
        <v>84</v>
      </c>
      <c r="B43" s="347" t="s">
        <v>183</v>
      </c>
      <c r="C43" s="155" t="s">
        <v>14</v>
      </c>
      <c r="D43" s="155">
        <v>3</v>
      </c>
      <c r="E43" s="54">
        <f t="shared" si="1"/>
        <v>40</v>
      </c>
      <c r="F43" s="54">
        <f t="shared" si="2"/>
        <v>117</v>
      </c>
      <c r="G43" s="54">
        <f t="shared" si="3"/>
        <v>1621</v>
      </c>
      <c r="H43" s="55">
        <v>44313</v>
      </c>
      <c r="I43" s="56">
        <v>39</v>
      </c>
      <c r="J43" s="56">
        <v>39</v>
      </c>
      <c r="K43" s="56">
        <v>501</v>
      </c>
      <c r="L43" s="55">
        <v>44369</v>
      </c>
      <c r="M43" s="56">
        <v>1</v>
      </c>
      <c r="N43" s="56">
        <v>39</v>
      </c>
      <c r="O43" s="56">
        <v>490</v>
      </c>
      <c r="P43" s="55">
        <v>44474</v>
      </c>
      <c r="Q43" s="56"/>
      <c r="R43" s="56">
        <v>39</v>
      </c>
      <c r="S43" s="56">
        <v>630</v>
      </c>
      <c r="T43" s="55"/>
      <c r="U43" s="56"/>
      <c r="V43" s="56"/>
      <c r="W43" s="57"/>
      <c r="X43" s="149"/>
      <c r="Y43" s="56"/>
      <c r="Z43" s="56"/>
      <c r="AA43" s="57"/>
    </row>
    <row r="44" spans="1:27" s="14" customFormat="1" ht="20.100000000000001" customHeight="1" x14ac:dyDescent="0.15">
      <c r="A44" s="339"/>
      <c r="B44" s="347"/>
      <c r="C44" s="155" t="s">
        <v>12</v>
      </c>
      <c r="D44" s="155">
        <v>3</v>
      </c>
      <c r="E44" s="54">
        <f t="shared" si="1"/>
        <v>8</v>
      </c>
      <c r="F44" s="54">
        <f t="shared" si="2"/>
        <v>24</v>
      </c>
      <c r="G44" s="54">
        <f t="shared" si="3"/>
        <v>417</v>
      </c>
      <c r="H44" s="55">
        <v>44313</v>
      </c>
      <c r="I44" s="56">
        <v>8</v>
      </c>
      <c r="J44" s="56">
        <v>8</v>
      </c>
      <c r="K44" s="56">
        <v>133</v>
      </c>
      <c r="L44" s="55">
        <v>44369</v>
      </c>
      <c r="M44" s="56">
        <v>0</v>
      </c>
      <c r="N44" s="56">
        <v>8</v>
      </c>
      <c r="O44" s="56">
        <v>134</v>
      </c>
      <c r="P44" s="55">
        <v>44474</v>
      </c>
      <c r="Q44" s="56">
        <v>0</v>
      </c>
      <c r="R44" s="56">
        <v>8</v>
      </c>
      <c r="S44" s="56">
        <v>150</v>
      </c>
      <c r="T44" s="55"/>
      <c r="U44" s="56"/>
      <c r="V44" s="56"/>
      <c r="W44" s="57"/>
      <c r="X44" s="149"/>
      <c r="Y44" s="56"/>
      <c r="Z44" s="56"/>
      <c r="AA44" s="57"/>
    </row>
    <row r="45" spans="1:27" s="14" customFormat="1" ht="20.100000000000001" customHeight="1" x14ac:dyDescent="0.15">
      <c r="A45" s="339" t="s">
        <v>71</v>
      </c>
      <c r="B45" s="330" t="s">
        <v>30</v>
      </c>
      <c r="C45" s="155" t="s">
        <v>136</v>
      </c>
      <c r="D45" s="155">
        <v>4</v>
      </c>
      <c r="E45" s="54">
        <f t="shared" si="1"/>
        <v>24</v>
      </c>
      <c r="F45" s="54">
        <f t="shared" si="2"/>
        <v>89</v>
      </c>
      <c r="G45" s="54">
        <f t="shared" si="3"/>
        <v>867</v>
      </c>
      <c r="H45" s="55">
        <v>44264</v>
      </c>
      <c r="I45" s="56">
        <v>23</v>
      </c>
      <c r="J45" s="56">
        <v>23</v>
      </c>
      <c r="K45" s="56">
        <v>301</v>
      </c>
      <c r="L45" s="55">
        <v>44329</v>
      </c>
      <c r="M45" s="56">
        <v>0</v>
      </c>
      <c r="N45" s="56">
        <v>21</v>
      </c>
      <c r="O45" s="56">
        <v>170</v>
      </c>
      <c r="P45" s="55">
        <v>44425</v>
      </c>
      <c r="Q45" s="56">
        <v>1</v>
      </c>
      <c r="R45" s="56">
        <v>22</v>
      </c>
      <c r="S45" s="56">
        <v>201</v>
      </c>
      <c r="T45" s="55">
        <v>44497</v>
      </c>
      <c r="U45" s="56">
        <v>0</v>
      </c>
      <c r="V45" s="56">
        <v>23</v>
      </c>
      <c r="W45" s="57">
        <v>195</v>
      </c>
      <c r="X45" s="149"/>
      <c r="Y45" s="56"/>
      <c r="Z45" s="56"/>
      <c r="AA45" s="57"/>
    </row>
    <row r="46" spans="1:27" s="14" customFormat="1" ht="20.100000000000001" customHeight="1" x14ac:dyDescent="0.15">
      <c r="A46" s="339"/>
      <c r="B46" s="330"/>
      <c r="C46" s="155" t="s">
        <v>133</v>
      </c>
      <c r="D46" s="155">
        <v>4</v>
      </c>
      <c r="E46" s="54">
        <f t="shared" si="1"/>
        <v>25</v>
      </c>
      <c r="F46" s="54">
        <f t="shared" si="2"/>
        <v>96</v>
      </c>
      <c r="G46" s="54">
        <f t="shared" si="3"/>
        <v>1107</v>
      </c>
      <c r="H46" s="55">
        <v>44264</v>
      </c>
      <c r="I46" s="56">
        <v>22</v>
      </c>
      <c r="J46" s="56">
        <v>22</v>
      </c>
      <c r="K46" s="56">
        <v>330</v>
      </c>
      <c r="L46" s="55">
        <v>44329</v>
      </c>
      <c r="M46" s="56">
        <v>0</v>
      </c>
      <c r="N46" s="56">
        <v>23</v>
      </c>
      <c r="O46" s="56">
        <v>230</v>
      </c>
      <c r="P46" s="55">
        <v>44425</v>
      </c>
      <c r="Q46" s="56">
        <v>3</v>
      </c>
      <c r="R46" s="56">
        <v>26</v>
      </c>
      <c r="S46" s="56">
        <v>282</v>
      </c>
      <c r="T46" s="55">
        <v>44497</v>
      </c>
      <c r="U46" s="56">
        <v>0</v>
      </c>
      <c r="V46" s="56">
        <v>25</v>
      </c>
      <c r="W46" s="57">
        <v>265</v>
      </c>
      <c r="X46" s="149"/>
      <c r="Y46" s="56"/>
      <c r="Z46" s="56"/>
      <c r="AA46" s="57"/>
    </row>
    <row r="47" spans="1:27" s="14" customFormat="1" ht="20.100000000000001" customHeight="1" x14ac:dyDescent="0.15">
      <c r="A47" s="339"/>
      <c r="B47" s="330"/>
      <c r="C47" s="155" t="s">
        <v>135</v>
      </c>
      <c r="D47" s="155">
        <v>4</v>
      </c>
      <c r="E47" s="54">
        <f t="shared" si="1"/>
        <v>10</v>
      </c>
      <c r="F47" s="54">
        <f t="shared" si="2"/>
        <v>42</v>
      </c>
      <c r="G47" s="54">
        <f t="shared" si="3"/>
        <v>582</v>
      </c>
      <c r="H47" s="55">
        <v>44264</v>
      </c>
      <c r="I47" s="56">
        <v>10</v>
      </c>
      <c r="J47" s="56">
        <v>10</v>
      </c>
      <c r="K47" s="56">
        <v>195</v>
      </c>
      <c r="L47" s="55">
        <v>44329</v>
      </c>
      <c r="M47" s="56">
        <v>0</v>
      </c>
      <c r="N47" s="56">
        <v>10</v>
      </c>
      <c r="O47" s="56">
        <v>120</v>
      </c>
      <c r="P47" s="55">
        <v>44425</v>
      </c>
      <c r="Q47" s="56">
        <v>0</v>
      </c>
      <c r="R47" s="56">
        <v>11</v>
      </c>
      <c r="S47" s="56">
        <v>132</v>
      </c>
      <c r="T47" s="55">
        <v>44497</v>
      </c>
      <c r="U47" s="56">
        <v>0</v>
      </c>
      <c r="V47" s="56">
        <v>11</v>
      </c>
      <c r="W47" s="57">
        <v>135</v>
      </c>
      <c r="X47" s="149"/>
      <c r="Y47" s="56"/>
      <c r="Z47" s="56"/>
      <c r="AA47" s="57"/>
    </row>
    <row r="48" spans="1:27" s="14" customFormat="1" ht="20.100000000000001" customHeight="1" x14ac:dyDescent="0.15">
      <c r="A48" s="339" t="s">
        <v>71</v>
      </c>
      <c r="B48" s="330" t="s">
        <v>30</v>
      </c>
      <c r="C48" s="155" t="s">
        <v>204</v>
      </c>
      <c r="D48" s="155">
        <v>4</v>
      </c>
      <c r="E48" s="54">
        <f t="shared" si="1"/>
        <v>8</v>
      </c>
      <c r="F48" s="54">
        <f t="shared" si="2"/>
        <v>33</v>
      </c>
      <c r="G48" s="54">
        <f t="shared" si="3"/>
        <v>379</v>
      </c>
      <c r="H48" s="55">
        <v>44265</v>
      </c>
      <c r="I48" s="56">
        <v>8</v>
      </c>
      <c r="J48" s="56">
        <v>8</v>
      </c>
      <c r="K48" s="56">
        <v>154</v>
      </c>
      <c r="L48" s="55">
        <v>44337</v>
      </c>
      <c r="M48" s="56">
        <v>0</v>
      </c>
      <c r="N48" s="56">
        <v>8</v>
      </c>
      <c r="O48" s="56">
        <v>95</v>
      </c>
      <c r="P48" s="55">
        <v>44426</v>
      </c>
      <c r="Q48" s="56">
        <v>0</v>
      </c>
      <c r="R48" s="56">
        <v>9</v>
      </c>
      <c r="S48" s="56">
        <v>119</v>
      </c>
      <c r="T48" s="55">
        <v>44497</v>
      </c>
      <c r="U48" s="56">
        <v>0</v>
      </c>
      <c r="V48" s="56">
        <v>8</v>
      </c>
      <c r="W48" s="57">
        <v>11</v>
      </c>
      <c r="X48" s="149"/>
      <c r="Y48" s="56"/>
      <c r="Z48" s="56"/>
      <c r="AA48" s="57"/>
    </row>
    <row r="49" spans="1:27" s="14" customFormat="1" ht="20.100000000000001" customHeight="1" x14ac:dyDescent="0.15">
      <c r="A49" s="339"/>
      <c r="B49" s="330"/>
      <c r="C49" s="155" t="s">
        <v>100</v>
      </c>
      <c r="D49" s="155">
        <v>5</v>
      </c>
      <c r="E49" s="54">
        <f t="shared" si="1"/>
        <v>47</v>
      </c>
      <c r="F49" s="54">
        <f t="shared" si="2"/>
        <v>228</v>
      </c>
      <c r="G49" s="54">
        <f t="shared" si="3"/>
        <v>2305</v>
      </c>
      <c r="H49" s="55">
        <v>44252</v>
      </c>
      <c r="I49" s="56">
        <v>45</v>
      </c>
      <c r="J49" s="56">
        <v>45</v>
      </c>
      <c r="K49" s="56">
        <v>460</v>
      </c>
      <c r="L49" s="55">
        <v>44322</v>
      </c>
      <c r="M49" s="56">
        <v>0</v>
      </c>
      <c r="N49" s="56">
        <v>46</v>
      </c>
      <c r="O49" s="56">
        <v>460</v>
      </c>
      <c r="P49" s="55">
        <v>44421</v>
      </c>
      <c r="Q49" s="56">
        <v>0</v>
      </c>
      <c r="R49" s="56">
        <v>45</v>
      </c>
      <c r="S49" s="56">
        <v>437</v>
      </c>
      <c r="T49" s="55">
        <v>44488</v>
      </c>
      <c r="U49" s="56">
        <v>0</v>
      </c>
      <c r="V49" s="56">
        <v>45</v>
      </c>
      <c r="W49" s="57">
        <v>469</v>
      </c>
      <c r="X49" s="149">
        <v>44532</v>
      </c>
      <c r="Y49" s="56">
        <v>2</v>
      </c>
      <c r="Z49" s="56">
        <v>47</v>
      </c>
      <c r="AA49" s="57">
        <v>479</v>
      </c>
    </row>
    <row r="50" spans="1:27" s="14" customFormat="1" ht="20.100000000000001" customHeight="1" x14ac:dyDescent="0.15">
      <c r="A50" s="339"/>
      <c r="B50" s="330"/>
      <c r="C50" s="155" t="s">
        <v>80</v>
      </c>
      <c r="D50" s="155">
        <v>4</v>
      </c>
      <c r="E50" s="54">
        <f t="shared" si="1"/>
        <v>27</v>
      </c>
      <c r="F50" s="54">
        <f t="shared" si="2"/>
        <v>106</v>
      </c>
      <c r="G50" s="54">
        <f t="shared" si="3"/>
        <v>1252</v>
      </c>
      <c r="H50" s="55">
        <v>44259</v>
      </c>
      <c r="I50" s="56">
        <v>26</v>
      </c>
      <c r="J50" s="56">
        <v>26</v>
      </c>
      <c r="K50" s="56">
        <v>300</v>
      </c>
      <c r="L50" s="55">
        <v>44327</v>
      </c>
      <c r="M50" s="56">
        <v>0</v>
      </c>
      <c r="N50" s="56">
        <v>27</v>
      </c>
      <c r="O50" s="56">
        <v>312</v>
      </c>
      <c r="P50" s="55">
        <v>44427</v>
      </c>
      <c r="Q50" s="56">
        <v>0</v>
      </c>
      <c r="R50" s="56">
        <v>27</v>
      </c>
      <c r="S50" s="56">
        <v>330</v>
      </c>
      <c r="T50" s="55">
        <v>44518</v>
      </c>
      <c r="U50" s="56">
        <v>1</v>
      </c>
      <c r="V50" s="56">
        <v>26</v>
      </c>
      <c r="W50" s="57">
        <v>310</v>
      </c>
      <c r="X50" s="149"/>
      <c r="Y50" s="56"/>
      <c r="Z50" s="56"/>
      <c r="AA50" s="57"/>
    </row>
    <row r="51" spans="1:27" s="14" customFormat="1" ht="20.100000000000001" customHeight="1" x14ac:dyDescent="0.15">
      <c r="A51" s="339"/>
      <c r="B51" s="330"/>
      <c r="C51" s="155" t="s">
        <v>68</v>
      </c>
      <c r="D51" s="155">
        <v>4</v>
      </c>
      <c r="E51" s="54">
        <f t="shared" si="1"/>
        <v>10</v>
      </c>
      <c r="F51" s="54">
        <f t="shared" si="2"/>
        <v>40</v>
      </c>
      <c r="G51" s="54">
        <f t="shared" si="3"/>
        <v>423</v>
      </c>
      <c r="H51" s="55">
        <v>44259</v>
      </c>
      <c r="I51" s="56">
        <v>10</v>
      </c>
      <c r="J51" s="56">
        <v>10</v>
      </c>
      <c r="K51" s="56">
        <v>90</v>
      </c>
      <c r="L51" s="55">
        <v>44327</v>
      </c>
      <c r="M51" s="56">
        <v>0</v>
      </c>
      <c r="N51" s="56">
        <v>10</v>
      </c>
      <c r="O51" s="56">
        <v>118</v>
      </c>
      <c r="P51" s="55">
        <v>44427</v>
      </c>
      <c r="Q51" s="56">
        <v>0</v>
      </c>
      <c r="R51" s="56">
        <v>10</v>
      </c>
      <c r="S51" s="56">
        <v>115</v>
      </c>
      <c r="T51" s="55">
        <v>44518</v>
      </c>
      <c r="U51" s="56">
        <v>0</v>
      </c>
      <c r="V51" s="56">
        <v>10</v>
      </c>
      <c r="W51" s="57">
        <v>100</v>
      </c>
      <c r="X51" s="149"/>
      <c r="Y51" s="56"/>
      <c r="Z51" s="56"/>
      <c r="AA51" s="57"/>
    </row>
    <row r="52" spans="1:27" s="14" customFormat="1" ht="20.100000000000001" customHeight="1" x14ac:dyDescent="0.15">
      <c r="A52" s="339"/>
      <c r="B52" s="330"/>
      <c r="C52" s="155" t="s">
        <v>74</v>
      </c>
      <c r="D52" s="155">
        <v>4</v>
      </c>
      <c r="E52" s="54">
        <f t="shared" si="1"/>
        <v>20</v>
      </c>
      <c r="F52" s="54">
        <f t="shared" si="2"/>
        <v>82</v>
      </c>
      <c r="G52" s="54">
        <f t="shared" si="3"/>
        <v>1033</v>
      </c>
      <c r="H52" s="55">
        <v>44272</v>
      </c>
      <c r="I52" s="56">
        <v>20</v>
      </c>
      <c r="J52" s="56">
        <v>20</v>
      </c>
      <c r="K52" s="56">
        <v>278</v>
      </c>
      <c r="L52" s="55">
        <v>44351</v>
      </c>
      <c r="M52" s="56">
        <v>0</v>
      </c>
      <c r="N52" s="56">
        <v>20</v>
      </c>
      <c r="O52" s="56">
        <v>205</v>
      </c>
      <c r="P52" s="55">
        <v>44468</v>
      </c>
      <c r="Q52" s="56">
        <v>0</v>
      </c>
      <c r="R52" s="56">
        <v>20</v>
      </c>
      <c r="S52" s="56">
        <v>300</v>
      </c>
      <c r="T52" s="55">
        <v>44515</v>
      </c>
      <c r="U52" s="56">
        <v>0</v>
      </c>
      <c r="V52" s="56">
        <v>22</v>
      </c>
      <c r="W52" s="57">
        <v>250</v>
      </c>
      <c r="X52" s="149"/>
      <c r="Y52" s="56"/>
      <c r="Z52" s="56"/>
      <c r="AA52" s="57"/>
    </row>
    <row r="53" spans="1:27" s="14" customFormat="1" ht="20.100000000000001" customHeight="1" x14ac:dyDescent="0.15">
      <c r="A53" s="339"/>
      <c r="B53" s="330"/>
      <c r="C53" s="155" t="s">
        <v>69</v>
      </c>
      <c r="D53" s="155">
        <v>4</v>
      </c>
      <c r="E53" s="54">
        <f t="shared" si="1"/>
        <v>30</v>
      </c>
      <c r="F53" s="54">
        <f t="shared" si="2"/>
        <v>120</v>
      </c>
      <c r="G53" s="54">
        <f t="shared" si="3"/>
        <v>1382</v>
      </c>
      <c r="H53" s="55">
        <v>44272</v>
      </c>
      <c r="I53" s="56">
        <v>30</v>
      </c>
      <c r="J53" s="56">
        <v>30</v>
      </c>
      <c r="K53" s="56">
        <v>478</v>
      </c>
      <c r="L53" s="55">
        <v>44351</v>
      </c>
      <c r="M53" s="56">
        <v>0</v>
      </c>
      <c r="N53" s="56">
        <v>30</v>
      </c>
      <c r="O53" s="56">
        <v>286</v>
      </c>
      <c r="P53" s="55">
        <v>44468</v>
      </c>
      <c r="Q53" s="56">
        <v>0</v>
      </c>
      <c r="R53" s="56">
        <v>30</v>
      </c>
      <c r="S53" s="56">
        <v>320</v>
      </c>
      <c r="T53" s="55">
        <v>44515</v>
      </c>
      <c r="U53" s="56">
        <v>0</v>
      </c>
      <c r="V53" s="56">
        <v>30</v>
      </c>
      <c r="W53" s="57">
        <v>298</v>
      </c>
      <c r="X53" s="149"/>
      <c r="Y53" s="56"/>
      <c r="Z53" s="56"/>
      <c r="AA53" s="57"/>
    </row>
    <row r="54" spans="1:27" s="14" customFormat="1" ht="20.100000000000001" customHeight="1" x14ac:dyDescent="0.15">
      <c r="A54" s="339"/>
      <c r="B54" s="330"/>
      <c r="C54" s="155" t="s">
        <v>117</v>
      </c>
      <c r="D54" s="155">
        <v>4</v>
      </c>
      <c r="E54" s="54">
        <f t="shared" si="1"/>
        <v>26</v>
      </c>
      <c r="F54" s="54">
        <f t="shared" si="2"/>
        <v>104</v>
      </c>
      <c r="G54" s="54">
        <f t="shared" si="3"/>
        <v>1289</v>
      </c>
      <c r="H54" s="55">
        <v>44271</v>
      </c>
      <c r="I54" s="56">
        <v>26</v>
      </c>
      <c r="J54" s="56">
        <v>26</v>
      </c>
      <c r="K54" s="56">
        <v>425</v>
      </c>
      <c r="L54" s="55">
        <v>44350</v>
      </c>
      <c r="M54" s="56">
        <v>0</v>
      </c>
      <c r="N54" s="56">
        <v>26</v>
      </c>
      <c r="O54" s="56">
        <v>275</v>
      </c>
      <c r="P54" s="55">
        <v>44467</v>
      </c>
      <c r="Q54" s="56">
        <v>0</v>
      </c>
      <c r="R54" s="56">
        <v>26</v>
      </c>
      <c r="S54" s="56">
        <v>300</v>
      </c>
      <c r="T54" s="55">
        <v>44515</v>
      </c>
      <c r="U54" s="56">
        <v>0</v>
      </c>
      <c r="V54" s="56">
        <v>26</v>
      </c>
      <c r="W54" s="57">
        <v>289</v>
      </c>
      <c r="X54" s="149"/>
      <c r="Y54" s="56"/>
      <c r="Z54" s="56"/>
      <c r="AA54" s="57"/>
    </row>
    <row r="55" spans="1:27" s="14" customFormat="1" ht="20.100000000000001" customHeight="1" x14ac:dyDescent="0.15">
      <c r="A55" s="339"/>
      <c r="B55" s="330"/>
      <c r="C55" s="155" t="s">
        <v>62</v>
      </c>
      <c r="D55" s="155">
        <v>4</v>
      </c>
      <c r="E55" s="54">
        <f t="shared" si="1"/>
        <v>23</v>
      </c>
      <c r="F55" s="54">
        <f t="shared" si="2"/>
        <v>89</v>
      </c>
      <c r="G55" s="54">
        <f t="shared" si="3"/>
        <v>1006</v>
      </c>
      <c r="H55" s="55">
        <v>44271</v>
      </c>
      <c r="I55" s="56">
        <v>20</v>
      </c>
      <c r="J55" s="56">
        <v>20</v>
      </c>
      <c r="K55" s="56">
        <v>242</v>
      </c>
      <c r="L55" s="55">
        <v>44350</v>
      </c>
      <c r="M55" s="56">
        <v>3</v>
      </c>
      <c r="N55" s="56">
        <v>23</v>
      </c>
      <c r="O55" s="56">
        <v>210</v>
      </c>
      <c r="P55" s="55">
        <v>44467</v>
      </c>
      <c r="Q55" s="56">
        <v>0</v>
      </c>
      <c r="R55" s="56">
        <v>23</v>
      </c>
      <c r="S55" s="56">
        <v>350</v>
      </c>
      <c r="T55" s="55">
        <v>44515</v>
      </c>
      <c r="U55" s="56">
        <v>0</v>
      </c>
      <c r="V55" s="56">
        <v>23</v>
      </c>
      <c r="W55" s="57">
        <v>204</v>
      </c>
      <c r="X55" s="149"/>
      <c r="Y55" s="56"/>
      <c r="Z55" s="56"/>
      <c r="AA55" s="57"/>
    </row>
    <row r="56" spans="1:27" s="14" customFormat="1" ht="20.100000000000001" customHeight="1" x14ac:dyDescent="0.15">
      <c r="A56" s="339"/>
      <c r="B56" s="330"/>
      <c r="C56" s="155" t="s">
        <v>25</v>
      </c>
      <c r="D56" s="155">
        <v>4</v>
      </c>
      <c r="E56" s="54">
        <f t="shared" si="1"/>
        <v>2</v>
      </c>
      <c r="F56" s="54">
        <f t="shared" si="2"/>
        <v>7</v>
      </c>
      <c r="G56" s="54">
        <f t="shared" si="3"/>
        <v>165</v>
      </c>
      <c r="H56" s="55">
        <v>44271</v>
      </c>
      <c r="I56" s="56">
        <v>2</v>
      </c>
      <c r="J56" s="56">
        <v>2</v>
      </c>
      <c r="K56" s="56">
        <v>48</v>
      </c>
      <c r="L56" s="55">
        <v>44350</v>
      </c>
      <c r="M56" s="56">
        <v>0</v>
      </c>
      <c r="N56" s="56">
        <v>2</v>
      </c>
      <c r="O56" s="56">
        <v>40</v>
      </c>
      <c r="P56" s="55">
        <v>44467</v>
      </c>
      <c r="Q56" s="56">
        <v>0</v>
      </c>
      <c r="R56" s="56">
        <v>2</v>
      </c>
      <c r="S56" s="56">
        <v>50</v>
      </c>
      <c r="T56" s="55">
        <v>44515</v>
      </c>
      <c r="U56" s="56">
        <v>0</v>
      </c>
      <c r="V56" s="56">
        <v>1</v>
      </c>
      <c r="W56" s="57">
        <v>27</v>
      </c>
      <c r="X56" s="149"/>
      <c r="Y56" s="56"/>
      <c r="Z56" s="56"/>
      <c r="AA56" s="57"/>
    </row>
    <row r="57" spans="1:27" s="14" customFormat="1" ht="20.100000000000001" customHeight="1" x14ac:dyDescent="0.15">
      <c r="A57" s="339"/>
      <c r="B57" s="330"/>
      <c r="C57" s="155" t="s">
        <v>15</v>
      </c>
      <c r="D57" s="155">
        <v>4</v>
      </c>
      <c r="E57" s="54">
        <f t="shared" si="1"/>
        <v>5</v>
      </c>
      <c r="F57" s="54">
        <f t="shared" si="2"/>
        <v>20</v>
      </c>
      <c r="G57" s="54">
        <f t="shared" si="3"/>
        <v>331</v>
      </c>
      <c r="H57" s="55">
        <v>44271</v>
      </c>
      <c r="I57" s="56">
        <v>5</v>
      </c>
      <c r="J57" s="56">
        <v>5</v>
      </c>
      <c r="K57" s="56">
        <v>81</v>
      </c>
      <c r="L57" s="55">
        <v>44350</v>
      </c>
      <c r="M57" s="56">
        <v>0</v>
      </c>
      <c r="N57" s="56">
        <v>5</v>
      </c>
      <c r="O57" s="56">
        <v>50</v>
      </c>
      <c r="P57" s="55">
        <v>44467</v>
      </c>
      <c r="Q57" s="56">
        <v>0</v>
      </c>
      <c r="R57" s="56">
        <v>5</v>
      </c>
      <c r="S57" s="56">
        <v>150</v>
      </c>
      <c r="T57" s="55">
        <v>44515</v>
      </c>
      <c r="U57" s="56">
        <v>0</v>
      </c>
      <c r="V57" s="56">
        <v>5</v>
      </c>
      <c r="W57" s="57">
        <v>50</v>
      </c>
      <c r="X57" s="149"/>
      <c r="Y57" s="56"/>
      <c r="Z57" s="56"/>
      <c r="AA57" s="57"/>
    </row>
    <row r="58" spans="1:27" s="14" customFormat="1" ht="20.100000000000001" customHeight="1" x14ac:dyDescent="0.15">
      <c r="A58" s="339"/>
      <c r="B58" s="155" t="s">
        <v>42</v>
      </c>
      <c r="C58" s="155" t="s">
        <v>133</v>
      </c>
      <c r="D58" s="155">
        <v>4</v>
      </c>
      <c r="E58" s="54">
        <f t="shared" si="1"/>
        <v>2</v>
      </c>
      <c r="F58" s="54">
        <f t="shared" si="2"/>
        <v>8</v>
      </c>
      <c r="G58" s="54">
        <f t="shared" si="3"/>
        <v>145</v>
      </c>
      <c r="H58" s="55">
        <v>44278</v>
      </c>
      <c r="I58" s="56">
        <v>2</v>
      </c>
      <c r="J58" s="56">
        <v>2</v>
      </c>
      <c r="K58" s="56">
        <v>40</v>
      </c>
      <c r="L58" s="55">
        <v>44349</v>
      </c>
      <c r="M58" s="56">
        <v>0</v>
      </c>
      <c r="N58" s="56">
        <v>2</v>
      </c>
      <c r="O58" s="56">
        <v>40</v>
      </c>
      <c r="P58" s="55">
        <v>44487</v>
      </c>
      <c r="Q58" s="56">
        <v>0</v>
      </c>
      <c r="R58" s="56">
        <v>2</v>
      </c>
      <c r="S58" s="56">
        <v>30</v>
      </c>
      <c r="T58" s="55">
        <v>44538</v>
      </c>
      <c r="U58" s="56">
        <v>0</v>
      </c>
      <c r="V58" s="56">
        <v>2</v>
      </c>
      <c r="W58" s="57">
        <v>35</v>
      </c>
      <c r="X58" s="149"/>
      <c r="Y58" s="56"/>
      <c r="Z58" s="56"/>
      <c r="AA58" s="57"/>
    </row>
    <row r="59" spans="1:27" s="14" customFormat="1" ht="20.100000000000001" customHeight="1" x14ac:dyDescent="0.15">
      <c r="A59" s="339"/>
      <c r="B59" s="155" t="s">
        <v>51</v>
      </c>
      <c r="C59" s="155" t="s">
        <v>82</v>
      </c>
      <c r="D59" s="155">
        <v>4</v>
      </c>
      <c r="E59" s="54">
        <f t="shared" si="1"/>
        <v>14</v>
      </c>
      <c r="F59" s="54">
        <f t="shared" si="2"/>
        <v>35</v>
      </c>
      <c r="G59" s="54">
        <f t="shared" si="3"/>
        <v>398</v>
      </c>
      <c r="H59" s="55">
        <v>44237</v>
      </c>
      <c r="I59" s="56">
        <v>14</v>
      </c>
      <c r="J59" s="56">
        <v>14</v>
      </c>
      <c r="K59" s="56">
        <v>179</v>
      </c>
      <c r="L59" s="55">
        <v>44301</v>
      </c>
      <c r="M59" s="56">
        <v>0</v>
      </c>
      <c r="N59" s="56">
        <v>7</v>
      </c>
      <c r="O59" s="56">
        <v>79</v>
      </c>
      <c r="P59" s="55">
        <v>44383</v>
      </c>
      <c r="Q59" s="56">
        <v>0</v>
      </c>
      <c r="R59" s="56">
        <v>7</v>
      </c>
      <c r="S59" s="56">
        <v>60</v>
      </c>
      <c r="T59" s="55">
        <v>44519</v>
      </c>
      <c r="U59" s="56">
        <v>0</v>
      </c>
      <c r="V59" s="56">
        <v>7</v>
      </c>
      <c r="W59" s="57">
        <v>80</v>
      </c>
      <c r="X59" s="149"/>
      <c r="Y59" s="56"/>
      <c r="Z59" s="56"/>
      <c r="AA59" s="57"/>
    </row>
    <row r="60" spans="1:27" s="14" customFormat="1" ht="20.100000000000001" customHeight="1" x14ac:dyDescent="0.15">
      <c r="A60" s="339"/>
      <c r="B60" s="155" t="s">
        <v>125</v>
      </c>
      <c r="C60" s="155" t="s">
        <v>22</v>
      </c>
      <c r="D60" s="155">
        <v>4</v>
      </c>
      <c r="E60" s="54">
        <f t="shared" si="1"/>
        <v>16</v>
      </c>
      <c r="F60" s="54">
        <f t="shared" si="2"/>
        <v>67</v>
      </c>
      <c r="G60" s="54">
        <f t="shared" si="3"/>
        <v>625</v>
      </c>
      <c r="H60" s="55">
        <v>44235</v>
      </c>
      <c r="I60" s="56">
        <v>16</v>
      </c>
      <c r="J60" s="56">
        <v>16</v>
      </c>
      <c r="K60" s="56">
        <v>171</v>
      </c>
      <c r="L60" s="55">
        <v>44302</v>
      </c>
      <c r="M60" s="56">
        <v>0</v>
      </c>
      <c r="N60" s="56">
        <v>17</v>
      </c>
      <c r="O60" s="56">
        <v>169</v>
      </c>
      <c r="P60" s="55">
        <v>44383</v>
      </c>
      <c r="Q60" s="56">
        <v>0</v>
      </c>
      <c r="R60" s="56">
        <v>17</v>
      </c>
      <c r="S60" s="56">
        <v>135</v>
      </c>
      <c r="T60" s="55">
        <v>44519</v>
      </c>
      <c r="U60" s="56">
        <v>0</v>
      </c>
      <c r="V60" s="56">
        <v>17</v>
      </c>
      <c r="W60" s="57">
        <v>150</v>
      </c>
      <c r="X60" s="149"/>
      <c r="Y60" s="56"/>
      <c r="Z60" s="56"/>
      <c r="AA60" s="57"/>
    </row>
    <row r="61" spans="1:27" s="14" customFormat="1" ht="20.100000000000001" customHeight="1" x14ac:dyDescent="0.15">
      <c r="A61" s="339"/>
      <c r="B61" s="331" t="s">
        <v>30</v>
      </c>
      <c r="C61" s="155" t="s">
        <v>60</v>
      </c>
      <c r="D61" s="155">
        <v>4</v>
      </c>
      <c r="E61" s="54">
        <f t="shared" si="1"/>
        <v>2</v>
      </c>
      <c r="F61" s="54">
        <f t="shared" si="2"/>
        <v>14</v>
      </c>
      <c r="G61" s="54">
        <f t="shared" si="3"/>
        <v>178</v>
      </c>
      <c r="H61" s="55">
        <v>44287</v>
      </c>
      <c r="I61" s="56">
        <v>2</v>
      </c>
      <c r="J61" s="56">
        <v>2</v>
      </c>
      <c r="K61" s="56">
        <v>18</v>
      </c>
      <c r="L61" s="55">
        <v>44362</v>
      </c>
      <c r="M61" s="56">
        <v>0</v>
      </c>
      <c r="N61" s="56">
        <v>4</v>
      </c>
      <c r="O61" s="56">
        <v>43</v>
      </c>
      <c r="P61" s="55">
        <v>44482</v>
      </c>
      <c r="Q61" s="56">
        <v>0</v>
      </c>
      <c r="R61" s="56">
        <v>4</v>
      </c>
      <c r="S61" s="56">
        <v>60</v>
      </c>
      <c r="T61" s="55">
        <v>44546</v>
      </c>
      <c r="U61" s="56">
        <v>0</v>
      </c>
      <c r="V61" s="56">
        <v>4</v>
      </c>
      <c r="W61" s="57">
        <v>57</v>
      </c>
      <c r="X61" s="149"/>
      <c r="Y61" s="56"/>
      <c r="Z61" s="56"/>
      <c r="AA61" s="57"/>
    </row>
    <row r="62" spans="1:27" s="14" customFormat="1" ht="20.100000000000001" customHeight="1" x14ac:dyDescent="0.15">
      <c r="A62" s="339"/>
      <c r="B62" s="348"/>
      <c r="C62" s="155" t="s">
        <v>53</v>
      </c>
      <c r="D62" s="155">
        <v>4</v>
      </c>
      <c r="E62" s="54">
        <f t="shared" si="1"/>
        <v>2</v>
      </c>
      <c r="F62" s="54">
        <f t="shared" si="2"/>
        <v>8</v>
      </c>
      <c r="G62" s="54">
        <f t="shared" si="3"/>
        <v>98</v>
      </c>
      <c r="H62" s="55">
        <v>44287</v>
      </c>
      <c r="I62" s="56">
        <v>2</v>
      </c>
      <c r="J62" s="56">
        <v>2</v>
      </c>
      <c r="K62" s="56">
        <v>24</v>
      </c>
      <c r="L62" s="55">
        <v>44362</v>
      </c>
      <c r="M62" s="56">
        <v>0</v>
      </c>
      <c r="N62" s="56">
        <v>2</v>
      </c>
      <c r="O62" s="56">
        <v>25</v>
      </c>
      <c r="P62" s="55">
        <v>44482</v>
      </c>
      <c r="Q62" s="56">
        <v>0</v>
      </c>
      <c r="R62" s="56">
        <v>2</v>
      </c>
      <c r="S62" s="56">
        <v>25</v>
      </c>
      <c r="T62" s="55">
        <v>44546</v>
      </c>
      <c r="U62" s="56">
        <v>0</v>
      </c>
      <c r="V62" s="56">
        <v>2</v>
      </c>
      <c r="W62" s="57">
        <v>24</v>
      </c>
      <c r="X62" s="149"/>
      <c r="Y62" s="56"/>
      <c r="Z62" s="56"/>
      <c r="AA62" s="57"/>
    </row>
    <row r="63" spans="1:27" s="14" customFormat="1" ht="20.100000000000001" customHeight="1" x14ac:dyDescent="0.15">
      <c r="A63" s="339"/>
      <c r="B63" s="348"/>
      <c r="C63" s="155" t="s">
        <v>27</v>
      </c>
      <c r="D63" s="155">
        <v>4</v>
      </c>
      <c r="E63" s="54">
        <f t="shared" si="1"/>
        <v>2</v>
      </c>
      <c r="F63" s="54">
        <f t="shared" si="2"/>
        <v>8</v>
      </c>
      <c r="G63" s="54">
        <f t="shared" si="3"/>
        <v>70</v>
      </c>
      <c r="H63" s="55">
        <v>44279</v>
      </c>
      <c r="I63" s="56">
        <v>2</v>
      </c>
      <c r="J63" s="56">
        <v>2</v>
      </c>
      <c r="K63" s="56">
        <v>17</v>
      </c>
      <c r="L63" s="55">
        <v>44343</v>
      </c>
      <c r="M63" s="56">
        <v>0</v>
      </c>
      <c r="N63" s="56">
        <v>2</v>
      </c>
      <c r="O63" s="56">
        <v>16</v>
      </c>
      <c r="P63" s="55">
        <v>44411</v>
      </c>
      <c r="Q63" s="56">
        <v>0</v>
      </c>
      <c r="R63" s="56">
        <v>2</v>
      </c>
      <c r="S63" s="56">
        <v>20</v>
      </c>
      <c r="T63" s="55">
        <v>44490</v>
      </c>
      <c r="U63" s="56">
        <v>0</v>
      </c>
      <c r="V63" s="56">
        <v>2</v>
      </c>
      <c r="W63" s="57">
        <v>17</v>
      </c>
      <c r="X63" s="149"/>
      <c r="Y63" s="56"/>
      <c r="Z63" s="56"/>
      <c r="AA63" s="57"/>
    </row>
    <row r="64" spans="1:27" s="14" customFormat="1" ht="20.100000000000001" customHeight="1" x14ac:dyDescent="0.15">
      <c r="A64" s="339"/>
      <c r="B64" s="348"/>
      <c r="C64" s="155" t="s">
        <v>137</v>
      </c>
      <c r="D64" s="155">
        <v>4</v>
      </c>
      <c r="E64" s="54">
        <f t="shared" si="1"/>
        <v>2</v>
      </c>
      <c r="F64" s="54">
        <f t="shared" si="2"/>
        <v>14</v>
      </c>
      <c r="G64" s="54">
        <f t="shared" si="3"/>
        <v>184</v>
      </c>
      <c r="H64" s="55">
        <v>44279</v>
      </c>
      <c r="I64" s="56">
        <v>2</v>
      </c>
      <c r="J64" s="56">
        <v>2</v>
      </c>
      <c r="K64" s="56">
        <v>44</v>
      </c>
      <c r="L64" s="55">
        <v>44343</v>
      </c>
      <c r="M64" s="56">
        <v>0</v>
      </c>
      <c r="N64" s="56">
        <v>4</v>
      </c>
      <c r="O64" s="56">
        <v>50</v>
      </c>
      <c r="P64" s="55">
        <v>44411</v>
      </c>
      <c r="Q64" s="56">
        <v>0</v>
      </c>
      <c r="R64" s="56">
        <v>4</v>
      </c>
      <c r="S64" s="56">
        <v>50</v>
      </c>
      <c r="T64" s="55">
        <v>44490</v>
      </c>
      <c r="U64" s="56">
        <v>0</v>
      </c>
      <c r="V64" s="56">
        <v>4</v>
      </c>
      <c r="W64" s="57">
        <v>40</v>
      </c>
      <c r="X64" s="149"/>
      <c r="Y64" s="56"/>
      <c r="Z64" s="56"/>
      <c r="AA64" s="57"/>
    </row>
    <row r="65" spans="1:27" s="14" customFormat="1" ht="20.100000000000001" customHeight="1" x14ac:dyDescent="0.15">
      <c r="A65" s="339"/>
      <c r="B65" s="348"/>
      <c r="C65" s="155" t="s">
        <v>194</v>
      </c>
      <c r="D65" s="155">
        <v>4</v>
      </c>
      <c r="E65" s="54">
        <f t="shared" si="1"/>
        <v>15</v>
      </c>
      <c r="F65" s="54">
        <f t="shared" si="2"/>
        <v>52</v>
      </c>
      <c r="G65" s="54">
        <f t="shared" si="3"/>
        <v>657</v>
      </c>
      <c r="H65" s="55">
        <v>44287</v>
      </c>
      <c r="I65" s="56">
        <v>13</v>
      </c>
      <c r="J65" s="56">
        <v>13</v>
      </c>
      <c r="K65" s="56">
        <v>150</v>
      </c>
      <c r="L65" s="55">
        <v>44372</v>
      </c>
      <c r="M65" s="56">
        <v>2</v>
      </c>
      <c r="N65" s="56">
        <v>13</v>
      </c>
      <c r="O65" s="56">
        <v>128</v>
      </c>
      <c r="P65" s="55">
        <v>44482</v>
      </c>
      <c r="Q65" s="56">
        <v>0</v>
      </c>
      <c r="R65" s="56">
        <v>13</v>
      </c>
      <c r="S65" s="56">
        <v>200</v>
      </c>
      <c r="T65" s="55">
        <v>44546</v>
      </c>
      <c r="U65" s="56">
        <v>0</v>
      </c>
      <c r="V65" s="56">
        <v>13</v>
      </c>
      <c r="W65" s="57">
        <v>179</v>
      </c>
      <c r="X65" s="149"/>
      <c r="Y65" s="56"/>
      <c r="Z65" s="56"/>
      <c r="AA65" s="57"/>
    </row>
    <row r="66" spans="1:27" s="14" customFormat="1" ht="20.100000000000001" customHeight="1" x14ac:dyDescent="0.15">
      <c r="A66" s="339"/>
      <c r="B66" s="348"/>
      <c r="C66" s="155" t="s">
        <v>197</v>
      </c>
      <c r="D66" s="155">
        <v>4</v>
      </c>
      <c r="E66" s="54">
        <f t="shared" si="1"/>
        <v>28</v>
      </c>
      <c r="F66" s="54">
        <f t="shared" si="2"/>
        <v>114</v>
      </c>
      <c r="G66" s="54">
        <f t="shared" si="3"/>
        <v>1474</v>
      </c>
      <c r="H66" s="55">
        <v>44286</v>
      </c>
      <c r="I66" s="56">
        <v>28</v>
      </c>
      <c r="J66" s="56">
        <v>28</v>
      </c>
      <c r="K66" s="56">
        <v>326</v>
      </c>
      <c r="L66" s="55">
        <v>44363</v>
      </c>
      <c r="M66" s="56">
        <v>0</v>
      </c>
      <c r="N66" s="56">
        <v>28</v>
      </c>
      <c r="O66" s="56">
        <v>426</v>
      </c>
      <c r="P66" s="55">
        <v>44484</v>
      </c>
      <c r="Q66" s="56">
        <v>0</v>
      </c>
      <c r="R66" s="56">
        <v>29</v>
      </c>
      <c r="S66" s="56">
        <v>347</v>
      </c>
      <c r="T66" s="55">
        <v>44525</v>
      </c>
      <c r="U66" s="56">
        <v>0</v>
      </c>
      <c r="V66" s="56">
        <v>29</v>
      </c>
      <c r="W66" s="57">
        <v>375</v>
      </c>
      <c r="X66" s="149"/>
      <c r="Y66" s="56"/>
      <c r="Z66" s="56"/>
      <c r="AA66" s="57"/>
    </row>
    <row r="67" spans="1:27" s="14" customFormat="1" ht="20.100000000000001" customHeight="1" x14ac:dyDescent="0.15">
      <c r="A67" s="339"/>
      <c r="B67" s="348"/>
      <c r="C67" s="155" t="s">
        <v>212</v>
      </c>
      <c r="D67" s="155">
        <v>4</v>
      </c>
      <c r="E67" s="54">
        <f t="shared" si="1"/>
        <v>6</v>
      </c>
      <c r="F67" s="54">
        <f t="shared" si="2"/>
        <v>20</v>
      </c>
      <c r="G67" s="54">
        <f t="shared" si="3"/>
        <v>251</v>
      </c>
      <c r="H67" s="55">
        <v>44286</v>
      </c>
      <c r="I67" s="56">
        <v>6</v>
      </c>
      <c r="J67" s="56">
        <v>6</v>
      </c>
      <c r="K67" s="56">
        <v>61</v>
      </c>
      <c r="L67" s="55">
        <v>44363</v>
      </c>
      <c r="M67" s="56">
        <v>0</v>
      </c>
      <c r="N67" s="56">
        <v>6</v>
      </c>
      <c r="O67" s="56">
        <v>85</v>
      </c>
      <c r="P67" s="55">
        <v>44484</v>
      </c>
      <c r="Q67" s="56">
        <v>0</v>
      </c>
      <c r="R67" s="56">
        <v>4</v>
      </c>
      <c r="S67" s="56">
        <v>60</v>
      </c>
      <c r="T67" s="55">
        <v>44525</v>
      </c>
      <c r="U67" s="56">
        <v>0</v>
      </c>
      <c r="V67" s="56">
        <v>4</v>
      </c>
      <c r="W67" s="57">
        <v>45</v>
      </c>
      <c r="X67" s="149"/>
      <c r="Y67" s="56"/>
      <c r="Z67" s="56"/>
      <c r="AA67" s="57"/>
    </row>
    <row r="68" spans="1:27" s="14" customFormat="1" ht="20.100000000000001" customHeight="1" x14ac:dyDescent="0.15">
      <c r="A68" s="339"/>
      <c r="B68" s="348"/>
      <c r="C68" s="155" t="s">
        <v>9</v>
      </c>
      <c r="D68" s="155">
        <v>4</v>
      </c>
      <c r="E68" s="54">
        <f t="shared" si="1"/>
        <v>19</v>
      </c>
      <c r="F68" s="54">
        <f t="shared" si="2"/>
        <v>79</v>
      </c>
      <c r="G68" s="54">
        <f t="shared" si="3"/>
        <v>1230</v>
      </c>
      <c r="H68" s="55">
        <v>44285</v>
      </c>
      <c r="I68" s="56">
        <v>19</v>
      </c>
      <c r="J68" s="56">
        <v>19</v>
      </c>
      <c r="K68" s="56">
        <v>340</v>
      </c>
      <c r="L68" s="55">
        <v>44361</v>
      </c>
      <c r="M68" s="56">
        <v>0</v>
      </c>
      <c r="N68" s="56">
        <v>20</v>
      </c>
      <c r="O68" s="56">
        <v>342</v>
      </c>
      <c r="P68" s="55">
        <v>44483</v>
      </c>
      <c r="Q68" s="56">
        <v>0</v>
      </c>
      <c r="R68" s="56">
        <v>20</v>
      </c>
      <c r="S68" s="56">
        <v>320</v>
      </c>
      <c r="T68" s="55">
        <v>44526</v>
      </c>
      <c r="U68" s="56">
        <v>0</v>
      </c>
      <c r="V68" s="56">
        <v>20</v>
      </c>
      <c r="W68" s="57">
        <v>228</v>
      </c>
      <c r="X68" s="149"/>
      <c r="Y68" s="56"/>
      <c r="Z68" s="56"/>
      <c r="AA68" s="57"/>
    </row>
    <row r="69" spans="1:27" s="14" customFormat="1" ht="20.100000000000001" customHeight="1" x14ac:dyDescent="0.15">
      <c r="A69" s="339"/>
      <c r="B69" s="349"/>
      <c r="C69" s="155" t="s">
        <v>105</v>
      </c>
      <c r="D69" s="155">
        <v>4</v>
      </c>
      <c r="E69" s="54">
        <f t="shared" si="1"/>
        <v>22</v>
      </c>
      <c r="F69" s="54">
        <f t="shared" si="2"/>
        <v>87</v>
      </c>
      <c r="G69" s="54">
        <f t="shared" si="3"/>
        <v>1154</v>
      </c>
      <c r="H69" s="55">
        <v>44285</v>
      </c>
      <c r="I69" s="56">
        <v>21</v>
      </c>
      <c r="J69" s="56">
        <v>21</v>
      </c>
      <c r="K69" s="56">
        <v>240</v>
      </c>
      <c r="L69" s="55">
        <v>44361</v>
      </c>
      <c r="M69" s="56">
        <v>1</v>
      </c>
      <c r="N69" s="56">
        <v>22</v>
      </c>
      <c r="O69" s="56">
        <v>326</v>
      </c>
      <c r="P69" s="55">
        <v>44483</v>
      </c>
      <c r="Q69" s="56">
        <v>0</v>
      </c>
      <c r="R69" s="56">
        <v>22</v>
      </c>
      <c r="S69" s="56">
        <v>340</v>
      </c>
      <c r="T69" s="55">
        <v>44532</v>
      </c>
      <c r="U69" s="56">
        <v>0</v>
      </c>
      <c r="V69" s="56">
        <v>22</v>
      </c>
      <c r="W69" s="57">
        <v>248</v>
      </c>
      <c r="X69" s="149"/>
      <c r="Y69" s="56"/>
      <c r="Z69" s="56"/>
      <c r="AA69" s="57"/>
    </row>
    <row r="70" spans="1:27" s="14" customFormat="1" ht="20.100000000000001" customHeight="1" x14ac:dyDescent="0.15">
      <c r="A70" s="343" t="s">
        <v>71</v>
      </c>
      <c r="B70" s="331" t="s">
        <v>30</v>
      </c>
      <c r="C70" s="155" t="s">
        <v>58</v>
      </c>
      <c r="D70" s="155">
        <v>4</v>
      </c>
      <c r="E70" s="54">
        <f t="shared" si="1"/>
        <v>16</v>
      </c>
      <c r="F70" s="54">
        <f t="shared" si="2"/>
        <v>64</v>
      </c>
      <c r="G70" s="54">
        <f t="shared" si="3"/>
        <v>572</v>
      </c>
      <c r="H70" s="55">
        <v>44285</v>
      </c>
      <c r="I70" s="56">
        <v>16</v>
      </c>
      <c r="J70" s="56">
        <v>16</v>
      </c>
      <c r="K70" s="56">
        <v>115</v>
      </c>
      <c r="L70" s="55">
        <v>44361</v>
      </c>
      <c r="M70" s="56">
        <v>0</v>
      </c>
      <c r="N70" s="56">
        <v>16</v>
      </c>
      <c r="O70" s="56">
        <v>146</v>
      </c>
      <c r="P70" s="55">
        <v>44483</v>
      </c>
      <c r="Q70" s="56">
        <v>0</v>
      </c>
      <c r="R70" s="56">
        <v>16</v>
      </c>
      <c r="S70" s="56">
        <v>195</v>
      </c>
      <c r="T70" s="55">
        <v>44526</v>
      </c>
      <c r="U70" s="56">
        <v>0</v>
      </c>
      <c r="V70" s="56">
        <v>16</v>
      </c>
      <c r="W70" s="57">
        <v>116</v>
      </c>
      <c r="X70" s="149"/>
      <c r="Y70" s="56"/>
      <c r="Z70" s="56"/>
      <c r="AA70" s="57"/>
    </row>
    <row r="71" spans="1:27" s="14" customFormat="1" ht="20.100000000000001" customHeight="1" x14ac:dyDescent="0.15">
      <c r="A71" s="350"/>
      <c r="B71" s="348"/>
      <c r="C71" s="155" t="s">
        <v>115</v>
      </c>
      <c r="D71" s="155">
        <v>4</v>
      </c>
      <c r="E71" s="54">
        <f t="shared" si="1"/>
        <v>36</v>
      </c>
      <c r="F71" s="54">
        <f t="shared" si="2"/>
        <v>148</v>
      </c>
      <c r="G71" s="54">
        <f t="shared" si="3"/>
        <v>1427</v>
      </c>
      <c r="H71" s="55">
        <v>44252</v>
      </c>
      <c r="I71" s="56">
        <v>36</v>
      </c>
      <c r="J71" s="56">
        <v>36</v>
      </c>
      <c r="K71" s="56">
        <v>402</v>
      </c>
      <c r="L71" s="55">
        <v>44322</v>
      </c>
      <c r="M71" s="56">
        <v>0</v>
      </c>
      <c r="N71" s="56">
        <v>37</v>
      </c>
      <c r="O71" s="56">
        <v>350</v>
      </c>
      <c r="P71" s="55">
        <v>44398</v>
      </c>
      <c r="Q71" s="56">
        <v>0</v>
      </c>
      <c r="R71" s="56">
        <v>37</v>
      </c>
      <c r="S71" s="56">
        <v>315</v>
      </c>
      <c r="T71" s="55">
        <v>44490</v>
      </c>
      <c r="U71" s="56">
        <v>0</v>
      </c>
      <c r="V71" s="56">
        <v>38</v>
      </c>
      <c r="W71" s="57">
        <v>360</v>
      </c>
      <c r="X71" s="149"/>
      <c r="Y71" s="56"/>
      <c r="Z71" s="56"/>
      <c r="AA71" s="57"/>
    </row>
    <row r="72" spans="1:27" s="14" customFormat="1" ht="20.100000000000001" customHeight="1" x14ac:dyDescent="0.15">
      <c r="A72" s="350"/>
      <c r="B72" s="348"/>
      <c r="C72" s="155" t="s">
        <v>19</v>
      </c>
      <c r="D72" s="155">
        <v>4</v>
      </c>
      <c r="E72" s="54">
        <f t="shared" ref="E72:E80" si="4">SUM(I72,M72,Q72,U72,Y72)</f>
        <v>3</v>
      </c>
      <c r="F72" s="54">
        <f t="shared" ref="F72:F80" si="5">SUM(J72,N72,R72,V72,Z72)</f>
        <v>9</v>
      </c>
      <c r="G72" s="54">
        <f t="shared" ref="G72:G80" si="6">SUM(K72,O72,S72,W72,AA72)</f>
        <v>140</v>
      </c>
      <c r="H72" s="55">
        <v>44236</v>
      </c>
      <c r="I72" s="56">
        <v>3</v>
      </c>
      <c r="J72" s="56">
        <v>3</v>
      </c>
      <c r="K72" s="56">
        <v>40</v>
      </c>
      <c r="L72" s="55"/>
      <c r="M72" s="56"/>
      <c r="N72" s="56"/>
      <c r="O72" s="56"/>
      <c r="P72" s="55">
        <v>44428</v>
      </c>
      <c r="Q72" s="56">
        <v>0</v>
      </c>
      <c r="R72" s="56">
        <v>3</v>
      </c>
      <c r="S72" s="56">
        <v>50</v>
      </c>
      <c r="T72" s="55">
        <v>44497</v>
      </c>
      <c r="U72" s="56">
        <v>0</v>
      </c>
      <c r="V72" s="56">
        <v>3</v>
      </c>
      <c r="W72" s="57">
        <v>50</v>
      </c>
      <c r="X72" s="149"/>
      <c r="Y72" s="56"/>
      <c r="Z72" s="56"/>
      <c r="AA72" s="57"/>
    </row>
    <row r="73" spans="1:27" s="14" customFormat="1" ht="20.100000000000001" customHeight="1" x14ac:dyDescent="0.15">
      <c r="A73" s="344"/>
      <c r="B73" s="349"/>
      <c r="C73" s="155" t="s">
        <v>31</v>
      </c>
      <c r="D73" s="155">
        <v>4</v>
      </c>
      <c r="E73" s="54">
        <f t="shared" si="4"/>
        <v>10</v>
      </c>
      <c r="F73" s="54">
        <f t="shared" si="5"/>
        <v>45</v>
      </c>
      <c r="G73" s="54">
        <f t="shared" si="6"/>
        <v>438</v>
      </c>
      <c r="H73" s="55">
        <v>44236</v>
      </c>
      <c r="I73" s="56">
        <v>10</v>
      </c>
      <c r="J73" s="56">
        <v>10</v>
      </c>
      <c r="K73" s="56">
        <v>101</v>
      </c>
      <c r="L73" s="55">
        <v>44295</v>
      </c>
      <c r="M73" s="56">
        <v>0</v>
      </c>
      <c r="N73" s="56">
        <v>12</v>
      </c>
      <c r="O73" s="56">
        <v>100</v>
      </c>
      <c r="P73" s="55">
        <v>44428</v>
      </c>
      <c r="Q73" s="56">
        <v>0</v>
      </c>
      <c r="R73" s="56">
        <v>12</v>
      </c>
      <c r="S73" s="56">
        <v>133</v>
      </c>
      <c r="T73" s="55">
        <v>44497</v>
      </c>
      <c r="U73" s="56">
        <v>0</v>
      </c>
      <c r="V73" s="56">
        <v>11</v>
      </c>
      <c r="W73" s="57">
        <v>104</v>
      </c>
      <c r="X73" s="149"/>
      <c r="Y73" s="56"/>
      <c r="Z73" s="56"/>
      <c r="AA73" s="57"/>
    </row>
    <row r="74" spans="1:27" s="14" customFormat="1" ht="20.100000000000001" customHeight="1" x14ac:dyDescent="0.15">
      <c r="A74" s="339" t="s">
        <v>79</v>
      </c>
      <c r="B74" s="330" t="s">
        <v>130</v>
      </c>
      <c r="C74" s="155" t="s">
        <v>140</v>
      </c>
      <c r="D74" s="155">
        <v>5</v>
      </c>
      <c r="E74" s="54">
        <f t="shared" si="4"/>
        <v>8</v>
      </c>
      <c r="F74" s="54">
        <f t="shared" si="5"/>
        <v>23</v>
      </c>
      <c r="G74" s="54">
        <f t="shared" si="6"/>
        <v>334</v>
      </c>
      <c r="H74" s="55">
        <v>44281</v>
      </c>
      <c r="I74" s="56">
        <v>8</v>
      </c>
      <c r="J74" s="56">
        <v>8</v>
      </c>
      <c r="K74" s="56">
        <v>105</v>
      </c>
      <c r="L74" s="55">
        <v>44295</v>
      </c>
      <c r="M74" s="56">
        <v>0</v>
      </c>
      <c r="N74" s="56">
        <v>3</v>
      </c>
      <c r="O74" s="56">
        <v>45</v>
      </c>
      <c r="P74" s="55">
        <v>44365</v>
      </c>
      <c r="Q74" s="56">
        <v>0</v>
      </c>
      <c r="R74" s="56">
        <v>8</v>
      </c>
      <c r="S74" s="56">
        <v>134</v>
      </c>
      <c r="T74" s="55">
        <v>44431</v>
      </c>
      <c r="U74" s="56">
        <v>0</v>
      </c>
      <c r="V74" s="56">
        <v>2</v>
      </c>
      <c r="W74" s="57">
        <v>25</v>
      </c>
      <c r="X74" s="149">
        <v>44552</v>
      </c>
      <c r="Y74" s="56">
        <v>0</v>
      </c>
      <c r="Z74" s="56">
        <v>2</v>
      </c>
      <c r="AA74" s="57">
        <v>25</v>
      </c>
    </row>
    <row r="75" spans="1:27" s="14" customFormat="1" ht="20.100000000000001" customHeight="1" x14ac:dyDescent="0.15">
      <c r="A75" s="339"/>
      <c r="B75" s="330"/>
      <c r="C75" s="155" t="s">
        <v>148</v>
      </c>
      <c r="D75" s="155">
        <v>4</v>
      </c>
      <c r="E75" s="54">
        <f t="shared" si="4"/>
        <v>62</v>
      </c>
      <c r="F75" s="54">
        <f t="shared" si="5"/>
        <v>205</v>
      </c>
      <c r="G75" s="54">
        <f t="shared" si="6"/>
        <v>2188</v>
      </c>
      <c r="H75" s="55">
        <v>44232</v>
      </c>
      <c r="I75" s="56">
        <v>61</v>
      </c>
      <c r="J75" s="56">
        <v>61</v>
      </c>
      <c r="K75" s="56">
        <v>680</v>
      </c>
      <c r="L75" s="55">
        <v>44301</v>
      </c>
      <c r="M75" s="56">
        <v>0</v>
      </c>
      <c r="N75" s="56">
        <v>53</v>
      </c>
      <c r="O75" s="56">
        <v>557</v>
      </c>
      <c r="P75" s="55">
        <v>44379</v>
      </c>
      <c r="Q75" s="56">
        <v>1</v>
      </c>
      <c r="R75" s="56">
        <v>50</v>
      </c>
      <c r="S75" s="56">
        <v>561</v>
      </c>
      <c r="T75" s="55">
        <v>44505</v>
      </c>
      <c r="U75" s="56">
        <v>0</v>
      </c>
      <c r="V75" s="56">
        <v>41</v>
      </c>
      <c r="W75" s="57">
        <v>390</v>
      </c>
      <c r="X75" s="149"/>
      <c r="Y75" s="56"/>
      <c r="Z75" s="56"/>
      <c r="AA75" s="57"/>
    </row>
    <row r="76" spans="1:27" s="14" customFormat="1" ht="20.100000000000001" customHeight="1" x14ac:dyDescent="0.15">
      <c r="A76" s="339"/>
      <c r="B76" s="330"/>
      <c r="C76" s="155" t="s">
        <v>213</v>
      </c>
      <c r="D76" s="155">
        <v>4</v>
      </c>
      <c r="E76" s="54">
        <f t="shared" si="4"/>
        <v>55</v>
      </c>
      <c r="F76" s="54">
        <f t="shared" si="5"/>
        <v>215</v>
      </c>
      <c r="G76" s="54">
        <f t="shared" si="6"/>
        <v>2191</v>
      </c>
      <c r="H76" s="55">
        <v>44253</v>
      </c>
      <c r="I76" s="56">
        <v>53</v>
      </c>
      <c r="J76" s="56">
        <v>53</v>
      </c>
      <c r="K76" s="56">
        <v>600</v>
      </c>
      <c r="L76" s="55">
        <v>44309</v>
      </c>
      <c r="M76" s="56">
        <v>2</v>
      </c>
      <c r="N76" s="56">
        <v>54</v>
      </c>
      <c r="O76" s="56">
        <v>501</v>
      </c>
      <c r="P76" s="55">
        <v>44431</v>
      </c>
      <c r="Q76" s="56">
        <v>0</v>
      </c>
      <c r="R76" s="56">
        <v>55</v>
      </c>
      <c r="S76" s="56">
        <v>570</v>
      </c>
      <c r="T76" s="55">
        <v>44543</v>
      </c>
      <c r="U76" s="56">
        <v>0</v>
      </c>
      <c r="V76" s="56">
        <v>53</v>
      </c>
      <c r="W76" s="57">
        <v>520</v>
      </c>
      <c r="X76" s="149"/>
      <c r="Y76" s="56"/>
      <c r="Z76" s="56"/>
      <c r="AA76" s="57"/>
    </row>
    <row r="77" spans="1:27" s="14" customFormat="1" ht="20.100000000000001" customHeight="1" x14ac:dyDescent="0.15">
      <c r="A77" s="339"/>
      <c r="B77" s="330"/>
      <c r="C77" s="155" t="s">
        <v>215</v>
      </c>
      <c r="D77" s="155">
        <v>4</v>
      </c>
      <c r="E77" s="54">
        <f t="shared" si="4"/>
        <v>69</v>
      </c>
      <c r="F77" s="54">
        <f t="shared" si="5"/>
        <v>260</v>
      </c>
      <c r="G77" s="54">
        <f t="shared" si="6"/>
        <v>2470</v>
      </c>
      <c r="H77" s="55">
        <v>44253</v>
      </c>
      <c r="I77" s="56">
        <v>68</v>
      </c>
      <c r="J77" s="56">
        <v>68</v>
      </c>
      <c r="K77" s="56">
        <v>647</v>
      </c>
      <c r="L77" s="55">
        <v>44312</v>
      </c>
      <c r="M77" s="56">
        <v>0</v>
      </c>
      <c r="N77" s="56">
        <v>65</v>
      </c>
      <c r="O77" s="56">
        <v>640</v>
      </c>
      <c r="P77" s="55">
        <v>44425</v>
      </c>
      <c r="Q77" s="56">
        <v>0</v>
      </c>
      <c r="R77" s="56">
        <v>65</v>
      </c>
      <c r="S77" s="56">
        <v>605</v>
      </c>
      <c r="T77" s="55">
        <v>44553</v>
      </c>
      <c r="U77" s="56">
        <v>1</v>
      </c>
      <c r="V77" s="56">
        <v>62</v>
      </c>
      <c r="W77" s="57">
        <v>578</v>
      </c>
      <c r="X77" s="149"/>
      <c r="Y77" s="56"/>
      <c r="Z77" s="56"/>
      <c r="AA77" s="57"/>
    </row>
    <row r="78" spans="1:27" s="14" customFormat="1" ht="20.100000000000001" customHeight="1" x14ac:dyDescent="0.15">
      <c r="A78" s="339"/>
      <c r="B78" s="330"/>
      <c r="C78" s="155" t="s">
        <v>195</v>
      </c>
      <c r="D78" s="155">
        <v>4</v>
      </c>
      <c r="E78" s="54">
        <f t="shared" si="4"/>
        <v>83</v>
      </c>
      <c r="F78" s="54">
        <f t="shared" si="5"/>
        <v>303</v>
      </c>
      <c r="G78" s="54">
        <f t="shared" si="6"/>
        <v>3050</v>
      </c>
      <c r="H78" s="55">
        <v>44274</v>
      </c>
      <c r="I78" s="56">
        <v>78</v>
      </c>
      <c r="J78" s="56">
        <v>78</v>
      </c>
      <c r="K78" s="56">
        <v>959</v>
      </c>
      <c r="L78" s="55">
        <v>44330</v>
      </c>
      <c r="M78" s="56">
        <v>0</v>
      </c>
      <c r="N78" s="56">
        <v>77</v>
      </c>
      <c r="O78" s="56">
        <v>400</v>
      </c>
      <c r="P78" s="55">
        <v>44391</v>
      </c>
      <c r="Q78" s="56">
        <v>2</v>
      </c>
      <c r="R78" s="56">
        <v>73</v>
      </c>
      <c r="S78" s="56">
        <v>685</v>
      </c>
      <c r="T78" s="55">
        <v>44545</v>
      </c>
      <c r="U78" s="56">
        <v>3</v>
      </c>
      <c r="V78" s="56">
        <v>75</v>
      </c>
      <c r="W78" s="57">
        <v>1006</v>
      </c>
      <c r="X78" s="149"/>
      <c r="Y78" s="56"/>
      <c r="Z78" s="56"/>
      <c r="AA78" s="57"/>
    </row>
    <row r="79" spans="1:27" s="14" customFormat="1" ht="20.100000000000001" customHeight="1" x14ac:dyDescent="0.15">
      <c r="A79" s="339"/>
      <c r="B79" s="330"/>
      <c r="C79" s="155" t="s">
        <v>208</v>
      </c>
      <c r="D79" s="155">
        <v>4</v>
      </c>
      <c r="E79" s="54">
        <f t="shared" si="4"/>
        <v>43</v>
      </c>
      <c r="F79" s="54">
        <f t="shared" si="5"/>
        <v>168</v>
      </c>
      <c r="G79" s="54">
        <f t="shared" si="6"/>
        <v>1965</v>
      </c>
      <c r="H79" s="55">
        <v>44274</v>
      </c>
      <c r="I79" s="56">
        <v>43</v>
      </c>
      <c r="J79" s="56">
        <v>43</v>
      </c>
      <c r="K79" s="56">
        <v>590</v>
      </c>
      <c r="L79" s="55">
        <v>44344</v>
      </c>
      <c r="M79" s="56">
        <v>0</v>
      </c>
      <c r="N79" s="56">
        <v>43</v>
      </c>
      <c r="O79" s="56">
        <v>440</v>
      </c>
      <c r="P79" s="55">
        <v>44427</v>
      </c>
      <c r="Q79" s="56">
        <v>0</v>
      </c>
      <c r="R79" s="56">
        <v>43</v>
      </c>
      <c r="S79" s="56">
        <v>490</v>
      </c>
      <c r="T79" s="55">
        <v>44540</v>
      </c>
      <c r="U79" s="56">
        <v>0</v>
      </c>
      <c r="V79" s="56">
        <v>39</v>
      </c>
      <c r="W79" s="57">
        <v>445</v>
      </c>
      <c r="X79" s="149"/>
      <c r="Y79" s="56"/>
      <c r="Z79" s="56"/>
      <c r="AA79" s="57"/>
    </row>
    <row r="80" spans="1:27" s="14" customFormat="1" ht="20.100000000000001" customHeight="1" x14ac:dyDescent="0.15">
      <c r="A80" s="345"/>
      <c r="B80" s="346"/>
      <c r="C80" s="59" t="s">
        <v>131</v>
      </c>
      <c r="D80" s="59">
        <v>4</v>
      </c>
      <c r="E80" s="60">
        <f t="shared" si="4"/>
        <v>5</v>
      </c>
      <c r="F80" s="60">
        <f t="shared" si="5"/>
        <v>20</v>
      </c>
      <c r="G80" s="60">
        <f t="shared" si="6"/>
        <v>135</v>
      </c>
      <c r="H80" s="61">
        <v>44281</v>
      </c>
      <c r="I80" s="62">
        <v>5</v>
      </c>
      <c r="J80" s="62">
        <v>5</v>
      </c>
      <c r="K80" s="62">
        <v>35</v>
      </c>
      <c r="L80" s="61">
        <v>44365</v>
      </c>
      <c r="M80" s="62">
        <v>0</v>
      </c>
      <c r="N80" s="62">
        <v>5</v>
      </c>
      <c r="O80" s="62">
        <v>40</v>
      </c>
      <c r="P80" s="61">
        <v>44431</v>
      </c>
      <c r="Q80" s="62">
        <v>0</v>
      </c>
      <c r="R80" s="62">
        <v>5</v>
      </c>
      <c r="S80" s="62">
        <v>30</v>
      </c>
      <c r="T80" s="61">
        <v>44552</v>
      </c>
      <c r="U80" s="62">
        <v>0</v>
      </c>
      <c r="V80" s="62">
        <v>5</v>
      </c>
      <c r="W80" s="63">
        <v>30</v>
      </c>
      <c r="X80" s="150"/>
      <c r="Y80" s="62"/>
      <c r="Z80" s="62"/>
      <c r="AA80" s="63"/>
    </row>
  </sheetData>
  <mergeCells count="42"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  <mergeCell ref="A24:A25"/>
    <mergeCell ref="A26:A27"/>
    <mergeCell ref="B26:B27"/>
    <mergeCell ref="A28:A35"/>
    <mergeCell ref="B28:B30"/>
    <mergeCell ref="B32:B34"/>
    <mergeCell ref="X3:AA3"/>
    <mergeCell ref="A6:A23"/>
    <mergeCell ref="B6:B8"/>
    <mergeCell ref="B10:B15"/>
    <mergeCell ref="B16:B17"/>
    <mergeCell ref="B18:B20"/>
    <mergeCell ref="B21:B23"/>
    <mergeCell ref="A5:C5"/>
    <mergeCell ref="A1:V1"/>
    <mergeCell ref="A2:A4"/>
    <mergeCell ref="B2:B4"/>
    <mergeCell ref="C2:C4"/>
    <mergeCell ref="D2:G2"/>
    <mergeCell ref="H2:W2"/>
    <mergeCell ref="D3:D4"/>
    <mergeCell ref="E3:E4"/>
    <mergeCell ref="F3:F4"/>
    <mergeCell ref="G3:G4"/>
    <mergeCell ref="H3:K3"/>
    <mergeCell ref="L3:O3"/>
    <mergeCell ref="P3:S3"/>
    <mergeCell ref="T3:W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6DAF1"/>
  </sheetPr>
  <dimension ref="A1:AI80"/>
  <sheetViews>
    <sheetView zoomScale="106" zoomScaleNormal="106" zoomScaleSheetLayoutView="75" workbookViewId="0">
      <pane xSplit="3" ySplit="4" topLeftCell="D53" activePane="bottomRight" state="frozen"/>
      <selection pane="topRight"/>
      <selection pane="bottomLeft"/>
      <selection pane="bottomRight" activeCell="AH63" sqref="AH63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6" width="5.5546875" customWidth="1"/>
    <col min="27" max="27" width="6.33203125" bestFit="1" customWidth="1"/>
    <col min="28" max="30" width="4.5546875" hidden="1" customWidth="1"/>
    <col min="31" max="31" width="6.33203125" hidden="1" bestFit="1" customWidth="1"/>
    <col min="32" max="35" width="5.5546875" customWidth="1"/>
    <col min="38" max="38" width="8.88671875" bestFit="1" customWidth="1"/>
  </cols>
  <sheetData>
    <row r="1" spans="1:35" ht="24.75" customHeight="1" x14ac:dyDescent="0.15">
      <c r="A1" s="325" t="s">
        <v>154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16"/>
      <c r="X1" s="16"/>
      <c r="Y1" s="16"/>
      <c r="Z1" s="16"/>
      <c r="AA1" s="16"/>
      <c r="AE1" s="16"/>
      <c r="AF1" s="325"/>
      <c r="AG1" s="325"/>
      <c r="AH1" s="325"/>
      <c r="AI1" s="16"/>
    </row>
    <row r="2" spans="1:35" ht="20.100000000000001" customHeight="1" x14ac:dyDescent="0.15">
      <c r="A2" s="326" t="s">
        <v>73</v>
      </c>
      <c r="B2" s="329" t="s">
        <v>151</v>
      </c>
      <c r="C2" s="329" t="s">
        <v>108</v>
      </c>
      <c r="D2" s="329" t="s">
        <v>94</v>
      </c>
      <c r="E2" s="329"/>
      <c r="F2" s="329"/>
      <c r="G2" s="329"/>
      <c r="H2" s="351" t="s">
        <v>164</v>
      </c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1"/>
      <c r="X2" s="351"/>
      <c r="Y2" s="351"/>
      <c r="Z2" s="351"/>
      <c r="AA2" s="353"/>
      <c r="AB2" s="151"/>
      <c r="AC2" s="151"/>
      <c r="AD2" s="151"/>
      <c r="AE2" s="152"/>
    </row>
    <row r="3" spans="1:35" ht="17.25" customHeight="1" x14ac:dyDescent="0.15">
      <c r="A3" s="327"/>
      <c r="B3" s="330"/>
      <c r="C3" s="330"/>
      <c r="D3" s="330" t="s">
        <v>134</v>
      </c>
      <c r="E3" s="330" t="s">
        <v>128</v>
      </c>
      <c r="F3" s="330" t="s">
        <v>70</v>
      </c>
      <c r="G3" s="330" t="s">
        <v>198</v>
      </c>
      <c r="H3" s="354" t="s">
        <v>122</v>
      </c>
      <c r="I3" s="355"/>
      <c r="J3" s="355"/>
      <c r="K3" s="355"/>
      <c r="L3" s="354" t="s">
        <v>106</v>
      </c>
      <c r="M3" s="354"/>
      <c r="N3" s="354"/>
      <c r="O3" s="354"/>
      <c r="P3" s="354" t="s">
        <v>7</v>
      </c>
      <c r="Q3" s="354"/>
      <c r="R3" s="354"/>
      <c r="S3" s="354"/>
      <c r="T3" s="356" t="s">
        <v>46</v>
      </c>
      <c r="U3" s="357"/>
      <c r="V3" s="357"/>
      <c r="W3" s="358"/>
      <c r="X3" s="356" t="s">
        <v>56</v>
      </c>
      <c r="Y3" s="357"/>
      <c r="Z3" s="357"/>
      <c r="AA3" s="359"/>
      <c r="AB3" s="337" t="s">
        <v>56</v>
      </c>
      <c r="AC3" s="330"/>
      <c r="AD3" s="330"/>
      <c r="AE3" s="336"/>
    </row>
    <row r="4" spans="1:35" ht="26.25" customHeight="1" x14ac:dyDescent="0.15">
      <c r="A4" s="328"/>
      <c r="B4" s="331"/>
      <c r="C4" s="331"/>
      <c r="D4" s="331"/>
      <c r="E4" s="331"/>
      <c r="F4" s="331"/>
      <c r="G4" s="331"/>
      <c r="H4" s="197" t="s">
        <v>26</v>
      </c>
      <c r="I4" s="197" t="s">
        <v>128</v>
      </c>
      <c r="J4" s="197" t="s">
        <v>70</v>
      </c>
      <c r="K4" s="198" t="s">
        <v>200</v>
      </c>
      <c r="L4" s="197" t="s">
        <v>26</v>
      </c>
      <c r="M4" s="197" t="s">
        <v>128</v>
      </c>
      <c r="N4" s="197" t="s">
        <v>70</v>
      </c>
      <c r="O4" s="198" t="s">
        <v>200</v>
      </c>
      <c r="P4" s="197" t="s">
        <v>26</v>
      </c>
      <c r="Q4" s="197" t="s">
        <v>128</v>
      </c>
      <c r="R4" s="197" t="s">
        <v>70</v>
      </c>
      <c r="S4" s="198" t="s">
        <v>200</v>
      </c>
      <c r="T4" s="197" t="s">
        <v>26</v>
      </c>
      <c r="U4" s="197" t="s">
        <v>128</v>
      </c>
      <c r="V4" s="197" t="s">
        <v>70</v>
      </c>
      <c r="W4" s="198" t="s">
        <v>200</v>
      </c>
      <c r="X4" s="208" t="s">
        <v>26</v>
      </c>
      <c r="Y4" s="208" t="s">
        <v>128</v>
      </c>
      <c r="Z4" s="208" t="s">
        <v>70</v>
      </c>
      <c r="AA4" s="209" t="s">
        <v>200</v>
      </c>
      <c r="AB4" s="146" t="s">
        <v>26</v>
      </c>
      <c r="AC4" s="65" t="s">
        <v>128</v>
      </c>
      <c r="AD4" s="65" t="s">
        <v>70</v>
      </c>
      <c r="AE4" s="66" t="s">
        <v>200</v>
      </c>
    </row>
    <row r="5" spans="1:35" ht="23.25" customHeight="1" x14ac:dyDescent="0.15">
      <c r="A5" s="340" t="s">
        <v>6</v>
      </c>
      <c r="B5" s="341"/>
      <c r="C5" s="342"/>
      <c r="D5" s="95"/>
      <c r="E5" s="96">
        <f>SUM(E6:E80)</f>
        <v>1488</v>
      </c>
      <c r="F5" s="226">
        <f>SUM(F6:F80)</f>
        <v>3099</v>
      </c>
      <c r="G5" s="96">
        <f>SUM(G6:G80)</f>
        <v>3099</v>
      </c>
      <c r="H5" s="199"/>
      <c r="I5" s="199">
        <f>SUM(I6:I80)</f>
        <v>1376</v>
      </c>
      <c r="J5" s="199">
        <f>SUM(J6:J80)</f>
        <v>1379</v>
      </c>
      <c r="K5" s="199">
        <f>SUM(K6:K80)</f>
        <v>1379</v>
      </c>
      <c r="L5" s="199"/>
      <c r="M5" s="199">
        <f>SUM(M6:M80)</f>
        <v>42</v>
      </c>
      <c r="N5" s="199">
        <f>SUM(N6:N80)</f>
        <v>409</v>
      </c>
      <c r="O5" s="199">
        <f>SUM(O6:O80)</f>
        <v>409</v>
      </c>
      <c r="P5" s="199"/>
      <c r="Q5" s="199">
        <f>SUM(Q6:Q80)</f>
        <v>59</v>
      </c>
      <c r="R5" s="199">
        <f>SUM(R6:R80)</f>
        <v>767</v>
      </c>
      <c r="S5" s="199">
        <f>SUM(S6:S80)</f>
        <v>767</v>
      </c>
      <c r="T5" s="199"/>
      <c r="U5" s="199">
        <f>SUM(U6:U80)</f>
        <v>9</v>
      </c>
      <c r="V5" s="199">
        <f>SUM(V6:V80)</f>
        <v>528</v>
      </c>
      <c r="W5" s="199">
        <f>SUM(W6:W80)</f>
        <v>528</v>
      </c>
      <c r="X5" s="215"/>
      <c r="Y5" s="216">
        <f>SUM(Y6:Y80)</f>
        <v>2</v>
      </c>
      <c r="Z5" s="216">
        <f t="shared" ref="Z5:AA5" si="0">SUM(Z6:Z80)</f>
        <v>16</v>
      </c>
      <c r="AA5" s="217">
        <f t="shared" si="0"/>
        <v>16</v>
      </c>
      <c r="AB5" s="147"/>
      <c r="AC5" s="144">
        <f>SUM(AC6:AC80)</f>
        <v>0</v>
      </c>
      <c r="AD5" s="144">
        <f>SUM(AD6:AD80)</f>
        <v>0</v>
      </c>
      <c r="AE5" s="145">
        <f>SUM(AE6:AE80)</f>
        <v>0</v>
      </c>
    </row>
    <row r="6" spans="1:35" s="14" customFormat="1" ht="20.100000000000001" customHeight="1" x14ac:dyDescent="0.15">
      <c r="A6" s="338" t="s">
        <v>84</v>
      </c>
      <c r="B6" s="329" t="s">
        <v>111</v>
      </c>
      <c r="C6" s="154" t="s">
        <v>101</v>
      </c>
      <c r="D6" s="154">
        <v>3</v>
      </c>
      <c r="E6" s="168">
        <f>SUM(I6,M6,Q6,U6,AC6)</f>
        <v>1</v>
      </c>
      <c r="F6" s="223">
        <f>SUM(J6,N6,R6,V6,Z6)</f>
        <v>3</v>
      </c>
      <c r="G6" s="168">
        <f>SUM(K6,O6,S6,W6,AA6)</f>
        <v>3</v>
      </c>
      <c r="H6" s="200">
        <v>44258</v>
      </c>
      <c r="I6" s="201">
        <v>1</v>
      </c>
      <c r="J6" s="201">
        <v>1</v>
      </c>
      <c r="K6" s="201">
        <v>1</v>
      </c>
      <c r="L6" s="200">
        <v>44314</v>
      </c>
      <c r="M6" s="201">
        <v>0</v>
      </c>
      <c r="N6" s="201">
        <v>1</v>
      </c>
      <c r="O6" s="201">
        <v>1</v>
      </c>
      <c r="P6" s="200">
        <v>44385</v>
      </c>
      <c r="Q6" s="201">
        <v>0</v>
      </c>
      <c r="R6" s="201">
        <v>1</v>
      </c>
      <c r="S6" s="201">
        <v>1</v>
      </c>
      <c r="T6" s="200">
        <v>44495</v>
      </c>
      <c r="U6" s="201">
        <v>0</v>
      </c>
      <c r="V6" s="201">
        <v>0</v>
      </c>
      <c r="W6" s="201">
        <v>0</v>
      </c>
      <c r="X6" s="206"/>
      <c r="Y6" s="207"/>
      <c r="Z6" s="207"/>
      <c r="AA6" s="210"/>
      <c r="AB6" s="148"/>
      <c r="AC6" s="142"/>
      <c r="AD6" s="142"/>
      <c r="AE6" s="143"/>
    </row>
    <row r="7" spans="1:35" s="14" customFormat="1" ht="20.100000000000001" customHeight="1" x14ac:dyDescent="0.15">
      <c r="A7" s="339"/>
      <c r="B7" s="330"/>
      <c r="C7" s="155" t="s">
        <v>121</v>
      </c>
      <c r="D7" s="155">
        <v>3</v>
      </c>
      <c r="E7" s="54">
        <f>SUM(I7,M7,Q7,U7,AC7)</f>
        <v>62</v>
      </c>
      <c r="F7" s="219">
        <f t="shared" ref="F7:F80" si="1">SUM(J7,N7,R7,V7,Z7)</f>
        <v>101</v>
      </c>
      <c r="G7" s="54">
        <f>SUM(K7,O7,S7,W7,AA7)</f>
        <v>101</v>
      </c>
      <c r="H7" s="202">
        <v>44258</v>
      </c>
      <c r="I7" s="203">
        <v>60</v>
      </c>
      <c r="J7" s="203">
        <v>60</v>
      </c>
      <c r="K7" s="203">
        <v>60</v>
      </c>
      <c r="L7" s="202">
        <v>44312</v>
      </c>
      <c r="M7" s="203">
        <v>0</v>
      </c>
      <c r="N7" s="203">
        <v>0</v>
      </c>
      <c r="O7" s="203">
        <v>0</v>
      </c>
      <c r="P7" s="202">
        <v>44378</v>
      </c>
      <c r="Q7" s="203">
        <v>1</v>
      </c>
      <c r="R7" s="203">
        <v>20</v>
      </c>
      <c r="S7" s="203">
        <v>20</v>
      </c>
      <c r="T7" s="202">
        <v>44491</v>
      </c>
      <c r="U7" s="203">
        <v>1</v>
      </c>
      <c r="V7" s="203">
        <v>21</v>
      </c>
      <c r="W7" s="203">
        <v>21</v>
      </c>
      <c r="X7" s="202"/>
      <c r="Y7" s="203"/>
      <c r="Z7" s="203"/>
      <c r="AA7" s="211"/>
      <c r="AB7" s="149"/>
      <c r="AC7" s="56"/>
      <c r="AD7" s="56"/>
      <c r="AE7" s="57"/>
    </row>
    <row r="8" spans="1:35" s="14" customFormat="1" ht="20.100000000000001" customHeight="1" x14ac:dyDescent="0.15">
      <c r="A8" s="339"/>
      <c r="B8" s="330"/>
      <c r="C8" s="155" t="s">
        <v>146</v>
      </c>
      <c r="D8" s="155">
        <v>4</v>
      </c>
      <c r="E8" s="54">
        <f t="shared" ref="E8:E71" si="2">SUM(I8,M8,Q8,U8,AC8)</f>
        <v>49</v>
      </c>
      <c r="F8" s="219">
        <f t="shared" si="1"/>
        <v>94</v>
      </c>
      <c r="G8" s="54">
        <f t="shared" ref="G8:G80" si="3">SUM(K8,O8,S8,W8,AA8)</f>
        <v>94</v>
      </c>
      <c r="H8" s="202">
        <v>44270</v>
      </c>
      <c r="I8" s="203">
        <v>47</v>
      </c>
      <c r="J8" s="203">
        <v>47</v>
      </c>
      <c r="K8" s="203">
        <v>47</v>
      </c>
      <c r="L8" s="202">
        <v>44334</v>
      </c>
      <c r="M8" s="203">
        <v>2</v>
      </c>
      <c r="N8" s="203">
        <v>21</v>
      </c>
      <c r="O8" s="203">
        <v>21</v>
      </c>
      <c r="P8" s="202">
        <v>44396</v>
      </c>
      <c r="Q8" s="203">
        <v>0</v>
      </c>
      <c r="R8" s="203">
        <v>13</v>
      </c>
      <c r="S8" s="203">
        <v>13</v>
      </c>
      <c r="T8" s="202">
        <v>44498</v>
      </c>
      <c r="U8" s="203">
        <v>0</v>
      </c>
      <c r="V8" s="203">
        <v>13</v>
      </c>
      <c r="W8" s="203">
        <v>13</v>
      </c>
      <c r="X8" s="202"/>
      <c r="Y8" s="203"/>
      <c r="Z8" s="203"/>
      <c r="AA8" s="211"/>
      <c r="AB8" s="149"/>
      <c r="AC8" s="56"/>
      <c r="AD8" s="56"/>
      <c r="AE8" s="57"/>
    </row>
    <row r="9" spans="1:35" s="14" customFormat="1" ht="20.100000000000001" customHeight="1" x14ac:dyDescent="0.15">
      <c r="A9" s="339"/>
      <c r="B9" s="155" t="s">
        <v>52</v>
      </c>
      <c r="C9" s="155" t="s">
        <v>238</v>
      </c>
      <c r="D9" s="155">
        <v>3</v>
      </c>
      <c r="E9" s="54">
        <f t="shared" si="2"/>
        <v>3</v>
      </c>
      <c r="F9" s="219">
        <f t="shared" si="1"/>
        <v>9</v>
      </c>
      <c r="G9" s="54">
        <f t="shared" si="3"/>
        <v>9</v>
      </c>
      <c r="H9" s="202">
        <v>44291</v>
      </c>
      <c r="I9" s="203">
        <v>3</v>
      </c>
      <c r="J9" s="203">
        <v>3</v>
      </c>
      <c r="K9" s="203">
        <v>3</v>
      </c>
      <c r="L9" s="202">
        <v>44364</v>
      </c>
      <c r="M9" s="203">
        <v>0</v>
      </c>
      <c r="N9" s="203">
        <v>3</v>
      </c>
      <c r="O9" s="203">
        <v>3</v>
      </c>
      <c r="P9" s="202">
        <v>44491</v>
      </c>
      <c r="Q9" s="203">
        <v>0</v>
      </c>
      <c r="R9" s="203">
        <v>0</v>
      </c>
      <c r="S9" s="203">
        <v>0</v>
      </c>
      <c r="T9" s="202">
        <v>44551</v>
      </c>
      <c r="U9" s="203">
        <v>0</v>
      </c>
      <c r="V9" s="203">
        <v>3</v>
      </c>
      <c r="W9" s="203">
        <v>3</v>
      </c>
      <c r="X9" s="202"/>
      <c r="Y9" s="203"/>
      <c r="Z9" s="203"/>
      <c r="AA9" s="211"/>
      <c r="AB9" s="149"/>
      <c r="AC9" s="56"/>
      <c r="AD9" s="56"/>
      <c r="AE9" s="57"/>
    </row>
    <row r="10" spans="1:35" s="14" customFormat="1" ht="20.100000000000001" customHeight="1" x14ac:dyDescent="0.15">
      <c r="A10" s="339"/>
      <c r="B10" s="330" t="s">
        <v>47</v>
      </c>
      <c r="C10" s="155" t="s">
        <v>86</v>
      </c>
      <c r="D10" s="155">
        <v>4</v>
      </c>
      <c r="E10" s="54">
        <f t="shared" si="2"/>
        <v>7</v>
      </c>
      <c r="F10" s="219">
        <f t="shared" si="1"/>
        <v>21</v>
      </c>
      <c r="G10" s="54">
        <f t="shared" si="3"/>
        <v>21</v>
      </c>
      <c r="H10" s="202">
        <v>44291</v>
      </c>
      <c r="I10" s="203">
        <v>7</v>
      </c>
      <c r="J10" s="203">
        <v>7</v>
      </c>
      <c r="K10" s="203">
        <v>7</v>
      </c>
      <c r="L10" s="202">
        <v>44357</v>
      </c>
      <c r="M10" s="203">
        <v>0</v>
      </c>
      <c r="N10" s="203">
        <v>7</v>
      </c>
      <c r="O10" s="203">
        <v>7</v>
      </c>
      <c r="P10" s="202">
        <v>44392</v>
      </c>
      <c r="Q10" s="203">
        <v>0</v>
      </c>
      <c r="R10" s="203">
        <v>0</v>
      </c>
      <c r="S10" s="203">
        <v>0</v>
      </c>
      <c r="T10" s="202">
        <v>44491</v>
      </c>
      <c r="U10" s="203">
        <v>0</v>
      </c>
      <c r="V10" s="203">
        <v>7</v>
      </c>
      <c r="W10" s="203">
        <v>7</v>
      </c>
      <c r="X10" s="202"/>
      <c r="Y10" s="203"/>
      <c r="Z10" s="203"/>
      <c r="AA10" s="211"/>
      <c r="AB10" s="149"/>
      <c r="AC10" s="56"/>
      <c r="AD10" s="56"/>
      <c r="AE10" s="57"/>
    </row>
    <row r="11" spans="1:35" s="14" customFormat="1" ht="20.100000000000001" customHeight="1" x14ac:dyDescent="0.15">
      <c r="A11" s="339"/>
      <c r="B11" s="330"/>
      <c r="C11" s="155" t="s">
        <v>114</v>
      </c>
      <c r="D11" s="155">
        <v>3</v>
      </c>
      <c r="E11" s="54">
        <f t="shared" si="2"/>
        <v>39</v>
      </c>
      <c r="F11" s="220">
        <f t="shared" si="1"/>
        <v>56</v>
      </c>
      <c r="G11" s="54">
        <f t="shared" si="3"/>
        <v>56</v>
      </c>
      <c r="H11" s="202">
        <v>44267</v>
      </c>
      <c r="I11" s="203">
        <v>39</v>
      </c>
      <c r="J11" s="203">
        <v>39</v>
      </c>
      <c r="K11" s="203">
        <v>39</v>
      </c>
      <c r="L11" s="202">
        <v>44336</v>
      </c>
      <c r="M11" s="203">
        <v>0</v>
      </c>
      <c r="N11" s="203">
        <v>7</v>
      </c>
      <c r="O11" s="203">
        <v>7</v>
      </c>
      <c r="P11" s="202">
        <v>44392</v>
      </c>
      <c r="Q11" s="203">
        <v>0</v>
      </c>
      <c r="R11" s="203">
        <v>0</v>
      </c>
      <c r="S11" s="203">
        <v>0</v>
      </c>
      <c r="T11" s="202">
        <v>44491</v>
      </c>
      <c r="U11" s="203">
        <v>0</v>
      </c>
      <c r="V11" s="203">
        <v>10</v>
      </c>
      <c r="W11" s="203">
        <v>10</v>
      </c>
      <c r="X11" s="202"/>
      <c r="Y11" s="203"/>
      <c r="Z11" s="203"/>
      <c r="AA11" s="211"/>
      <c r="AB11" s="149"/>
      <c r="AC11" s="56"/>
      <c r="AD11" s="56"/>
      <c r="AE11" s="57"/>
    </row>
    <row r="12" spans="1:35" s="14" customFormat="1" ht="20.100000000000001" customHeight="1" x14ac:dyDescent="0.15">
      <c r="A12" s="339"/>
      <c r="B12" s="330"/>
      <c r="C12" s="155" t="s">
        <v>139</v>
      </c>
      <c r="D12" s="155">
        <v>4</v>
      </c>
      <c r="E12" s="54">
        <f t="shared" si="2"/>
        <v>14</v>
      </c>
      <c r="F12" s="220">
        <f t="shared" si="1"/>
        <v>34</v>
      </c>
      <c r="G12" s="54">
        <f t="shared" si="3"/>
        <v>34</v>
      </c>
      <c r="H12" s="202">
        <v>44267</v>
      </c>
      <c r="I12" s="203">
        <v>14</v>
      </c>
      <c r="J12" s="203">
        <v>14</v>
      </c>
      <c r="K12" s="203">
        <v>14</v>
      </c>
      <c r="L12" s="202">
        <v>44342</v>
      </c>
      <c r="M12" s="203">
        <v>0</v>
      </c>
      <c r="N12" s="203">
        <v>4</v>
      </c>
      <c r="O12" s="203">
        <v>4</v>
      </c>
      <c r="P12" s="202">
        <v>44477</v>
      </c>
      <c r="Q12" s="203">
        <v>0</v>
      </c>
      <c r="R12" s="203">
        <v>5</v>
      </c>
      <c r="S12" s="203">
        <v>5</v>
      </c>
      <c r="T12" s="202">
        <v>44539</v>
      </c>
      <c r="U12" s="203">
        <v>0</v>
      </c>
      <c r="V12" s="203">
        <v>11</v>
      </c>
      <c r="W12" s="203">
        <v>11</v>
      </c>
      <c r="X12" s="202"/>
      <c r="Y12" s="203"/>
      <c r="Z12" s="203"/>
      <c r="AA12" s="211"/>
      <c r="AB12" s="149"/>
      <c r="AC12" s="56"/>
      <c r="AD12" s="56"/>
      <c r="AE12" s="57"/>
    </row>
    <row r="13" spans="1:35" s="14" customFormat="1" ht="20.100000000000001" customHeight="1" x14ac:dyDescent="0.15">
      <c r="A13" s="339"/>
      <c r="B13" s="330"/>
      <c r="C13" s="155" t="s">
        <v>126</v>
      </c>
      <c r="D13" s="155">
        <v>4</v>
      </c>
      <c r="E13" s="54">
        <f t="shared" si="2"/>
        <v>8</v>
      </c>
      <c r="F13" s="220">
        <f t="shared" si="1"/>
        <v>28</v>
      </c>
      <c r="G13" s="54">
        <f t="shared" si="3"/>
        <v>28</v>
      </c>
      <c r="H13" s="202">
        <v>44291</v>
      </c>
      <c r="I13" s="203">
        <v>3</v>
      </c>
      <c r="J13" s="203">
        <v>3</v>
      </c>
      <c r="K13" s="203">
        <v>3</v>
      </c>
      <c r="L13" s="202">
        <v>44357</v>
      </c>
      <c r="M13" s="203">
        <v>5</v>
      </c>
      <c r="N13" s="203">
        <v>8</v>
      </c>
      <c r="O13" s="203">
        <v>8</v>
      </c>
      <c r="P13" s="202">
        <v>44477</v>
      </c>
      <c r="Q13" s="203">
        <v>0</v>
      </c>
      <c r="R13" s="203">
        <v>9</v>
      </c>
      <c r="S13" s="203">
        <v>9</v>
      </c>
      <c r="T13" s="202">
        <v>44539</v>
      </c>
      <c r="U13" s="203">
        <v>0</v>
      </c>
      <c r="V13" s="203">
        <v>8</v>
      </c>
      <c r="W13" s="203">
        <v>8</v>
      </c>
      <c r="X13" s="202"/>
      <c r="Y13" s="203"/>
      <c r="Z13" s="203"/>
      <c r="AA13" s="211"/>
      <c r="AB13" s="149"/>
      <c r="AC13" s="56"/>
      <c r="AD13" s="56"/>
      <c r="AE13" s="57"/>
    </row>
    <row r="14" spans="1:35" s="14" customFormat="1" ht="20.100000000000001" customHeight="1" x14ac:dyDescent="0.15">
      <c r="A14" s="339"/>
      <c r="B14" s="330"/>
      <c r="C14" s="155" t="s">
        <v>48</v>
      </c>
      <c r="D14" s="155">
        <v>4</v>
      </c>
      <c r="E14" s="54">
        <f t="shared" si="2"/>
        <v>24</v>
      </c>
      <c r="F14" s="218">
        <f t="shared" si="1"/>
        <v>54</v>
      </c>
      <c r="G14" s="54">
        <f t="shared" si="3"/>
        <v>54</v>
      </c>
      <c r="H14" s="202">
        <v>44280</v>
      </c>
      <c r="I14" s="203">
        <v>24</v>
      </c>
      <c r="J14" s="203">
        <v>24</v>
      </c>
      <c r="K14" s="203">
        <v>24</v>
      </c>
      <c r="L14" s="202">
        <v>44342</v>
      </c>
      <c r="M14" s="203">
        <v>0</v>
      </c>
      <c r="N14" s="203">
        <v>4</v>
      </c>
      <c r="O14" s="203">
        <v>4</v>
      </c>
      <c r="P14" s="202">
        <v>44463</v>
      </c>
      <c r="Q14" s="203">
        <v>0</v>
      </c>
      <c r="R14" s="203">
        <v>24</v>
      </c>
      <c r="S14" s="203">
        <v>24</v>
      </c>
      <c r="T14" s="202">
        <v>44537</v>
      </c>
      <c r="U14" s="203">
        <v>0</v>
      </c>
      <c r="V14" s="203">
        <v>2</v>
      </c>
      <c r="W14" s="203">
        <v>2</v>
      </c>
      <c r="X14" s="202"/>
      <c r="Y14" s="203"/>
      <c r="Z14" s="203"/>
      <c r="AA14" s="211"/>
      <c r="AB14" s="149"/>
      <c r="AC14" s="56"/>
      <c r="AD14" s="56"/>
      <c r="AE14" s="57"/>
    </row>
    <row r="15" spans="1:35" s="14" customFormat="1" ht="20.100000000000001" customHeight="1" x14ac:dyDescent="0.15">
      <c r="A15" s="339"/>
      <c r="B15" s="330"/>
      <c r="C15" s="155" t="s">
        <v>145</v>
      </c>
      <c r="D15" s="155">
        <v>4</v>
      </c>
      <c r="E15" s="54">
        <f t="shared" si="2"/>
        <v>30</v>
      </c>
      <c r="F15" s="222">
        <f t="shared" si="1"/>
        <v>69</v>
      </c>
      <c r="G15" s="54">
        <f t="shared" si="3"/>
        <v>69</v>
      </c>
      <c r="H15" s="202">
        <v>44280</v>
      </c>
      <c r="I15" s="203">
        <v>20</v>
      </c>
      <c r="J15" s="203">
        <v>20</v>
      </c>
      <c r="K15" s="203">
        <v>20</v>
      </c>
      <c r="L15" s="202">
        <v>44347</v>
      </c>
      <c r="M15" s="203">
        <v>0</v>
      </c>
      <c r="N15" s="203">
        <v>7</v>
      </c>
      <c r="O15" s="203">
        <v>7</v>
      </c>
      <c r="P15" s="202">
        <v>44463</v>
      </c>
      <c r="Q15" s="203">
        <v>10</v>
      </c>
      <c r="R15" s="203">
        <v>30</v>
      </c>
      <c r="S15" s="203">
        <v>30</v>
      </c>
      <c r="T15" s="202">
        <v>44537</v>
      </c>
      <c r="U15" s="203">
        <v>0</v>
      </c>
      <c r="V15" s="203">
        <v>12</v>
      </c>
      <c r="W15" s="203">
        <v>12</v>
      </c>
      <c r="X15" s="202"/>
      <c r="Y15" s="203"/>
      <c r="Z15" s="203"/>
      <c r="AA15" s="211"/>
      <c r="AB15" s="149"/>
      <c r="AC15" s="56"/>
      <c r="AD15" s="56"/>
      <c r="AE15" s="57"/>
    </row>
    <row r="16" spans="1:35" s="14" customFormat="1" ht="20.100000000000001" customHeight="1" x14ac:dyDescent="0.15">
      <c r="A16" s="339"/>
      <c r="B16" s="330" t="s">
        <v>89</v>
      </c>
      <c r="C16" s="159" t="s">
        <v>214</v>
      </c>
      <c r="D16" s="155">
        <v>4</v>
      </c>
      <c r="E16" s="54">
        <f t="shared" si="2"/>
        <v>13</v>
      </c>
      <c r="F16" s="220">
        <f t="shared" si="1"/>
        <v>17</v>
      </c>
      <c r="G16" s="54">
        <f t="shared" si="3"/>
        <v>17</v>
      </c>
      <c r="H16" s="202">
        <v>44270</v>
      </c>
      <c r="I16" s="203">
        <v>10</v>
      </c>
      <c r="J16" s="203">
        <v>10</v>
      </c>
      <c r="K16" s="203">
        <v>10</v>
      </c>
      <c r="L16" s="202">
        <v>44370</v>
      </c>
      <c r="M16" s="203">
        <v>2</v>
      </c>
      <c r="N16" s="203">
        <v>4</v>
      </c>
      <c r="O16" s="203">
        <v>4</v>
      </c>
      <c r="P16" s="202">
        <v>44490</v>
      </c>
      <c r="Q16" s="203">
        <v>0</v>
      </c>
      <c r="R16" s="203">
        <v>1</v>
      </c>
      <c r="S16" s="203">
        <v>1</v>
      </c>
      <c r="T16" s="202">
        <v>44529</v>
      </c>
      <c r="U16" s="203">
        <v>1</v>
      </c>
      <c r="V16" s="203">
        <v>2</v>
      </c>
      <c r="W16" s="203">
        <v>2</v>
      </c>
      <c r="X16" s="202"/>
      <c r="Y16" s="203"/>
      <c r="Z16" s="203"/>
      <c r="AA16" s="211"/>
      <c r="AB16" s="149"/>
      <c r="AC16" s="56"/>
      <c r="AD16" s="56"/>
      <c r="AE16" s="57"/>
    </row>
    <row r="17" spans="1:31" s="14" customFormat="1" ht="20.100000000000001" customHeight="1" x14ac:dyDescent="0.15">
      <c r="A17" s="339"/>
      <c r="B17" s="330"/>
      <c r="C17" s="159" t="s">
        <v>201</v>
      </c>
      <c r="D17" s="155">
        <v>4</v>
      </c>
      <c r="E17" s="54">
        <f t="shared" si="2"/>
        <v>25</v>
      </c>
      <c r="F17" s="218">
        <f t="shared" si="1"/>
        <v>32</v>
      </c>
      <c r="G17" s="54">
        <f t="shared" si="3"/>
        <v>32</v>
      </c>
      <c r="H17" s="202">
        <v>44270</v>
      </c>
      <c r="I17" s="203">
        <v>23</v>
      </c>
      <c r="J17" s="203">
        <v>23</v>
      </c>
      <c r="K17" s="203">
        <v>23</v>
      </c>
      <c r="L17" s="202">
        <v>44370</v>
      </c>
      <c r="M17" s="203">
        <v>0</v>
      </c>
      <c r="N17" s="203">
        <v>3</v>
      </c>
      <c r="O17" s="203">
        <v>3</v>
      </c>
      <c r="P17" s="202">
        <v>44490</v>
      </c>
      <c r="Q17" s="203">
        <v>1</v>
      </c>
      <c r="R17" s="203">
        <v>4</v>
      </c>
      <c r="S17" s="203">
        <v>4</v>
      </c>
      <c r="T17" s="202">
        <v>44529</v>
      </c>
      <c r="U17" s="203">
        <v>1</v>
      </c>
      <c r="V17" s="203">
        <v>2</v>
      </c>
      <c r="W17" s="203">
        <v>2</v>
      </c>
      <c r="X17" s="202"/>
      <c r="Y17" s="203"/>
      <c r="Z17" s="203"/>
      <c r="AA17" s="211"/>
      <c r="AB17" s="149"/>
      <c r="AC17" s="56"/>
      <c r="AD17" s="56"/>
      <c r="AE17" s="57"/>
    </row>
    <row r="18" spans="1:31" s="14" customFormat="1" ht="20.100000000000001" customHeight="1" x14ac:dyDescent="0.15">
      <c r="A18" s="339"/>
      <c r="B18" s="330" t="s">
        <v>97</v>
      </c>
      <c r="C18" s="155" t="s">
        <v>21</v>
      </c>
      <c r="D18" s="155">
        <v>4</v>
      </c>
      <c r="E18" s="54">
        <f t="shared" si="2"/>
        <v>16</v>
      </c>
      <c r="F18" s="222">
        <f t="shared" si="1"/>
        <v>25</v>
      </c>
      <c r="G18" s="54">
        <f t="shared" si="3"/>
        <v>25</v>
      </c>
      <c r="H18" s="202">
        <v>44231</v>
      </c>
      <c r="I18" s="203">
        <v>13</v>
      </c>
      <c r="J18" s="203">
        <v>13</v>
      </c>
      <c r="K18" s="203">
        <v>13</v>
      </c>
      <c r="L18" s="202">
        <v>44294</v>
      </c>
      <c r="M18" s="203">
        <v>3</v>
      </c>
      <c r="N18" s="203">
        <v>3</v>
      </c>
      <c r="O18" s="203">
        <v>3</v>
      </c>
      <c r="P18" s="202">
        <v>44371</v>
      </c>
      <c r="Q18" s="203">
        <v>0</v>
      </c>
      <c r="R18" s="203">
        <v>5</v>
      </c>
      <c r="S18" s="203">
        <v>5</v>
      </c>
      <c r="T18" s="202">
        <v>44495</v>
      </c>
      <c r="U18" s="203">
        <v>0</v>
      </c>
      <c r="V18" s="203">
        <v>4</v>
      </c>
      <c r="W18" s="203">
        <v>4</v>
      </c>
      <c r="X18" s="202"/>
      <c r="Y18" s="203"/>
      <c r="Z18" s="203"/>
      <c r="AA18" s="211"/>
      <c r="AB18" s="149"/>
      <c r="AC18" s="56"/>
      <c r="AD18" s="56"/>
      <c r="AE18" s="57"/>
    </row>
    <row r="19" spans="1:31" s="14" customFormat="1" ht="20.100000000000001" customHeight="1" x14ac:dyDescent="0.15">
      <c r="A19" s="339"/>
      <c r="B19" s="330"/>
      <c r="C19" s="155" t="s">
        <v>35</v>
      </c>
      <c r="D19" s="155">
        <v>4</v>
      </c>
      <c r="E19" s="54">
        <f t="shared" si="2"/>
        <v>31</v>
      </c>
      <c r="F19" s="218">
        <f t="shared" si="1"/>
        <v>55</v>
      </c>
      <c r="G19" s="54">
        <f t="shared" si="3"/>
        <v>55</v>
      </c>
      <c r="H19" s="202">
        <v>44252</v>
      </c>
      <c r="I19" s="203">
        <v>31</v>
      </c>
      <c r="J19" s="203">
        <v>31</v>
      </c>
      <c r="K19" s="203">
        <v>31</v>
      </c>
      <c r="L19" s="202">
        <v>44314</v>
      </c>
      <c r="M19" s="203">
        <v>0</v>
      </c>
      <c r="N19" s="203">
        <v>5</v>
      </c>
      <c r="O19" s="203">
        <v>5</v>
      </c>
      <c r="P19" s="202">
        <v>44384</v>
      </c>
      <c r="Q19" s="203">
        <v>0</v>
      </c>
      <c r="R19" s="203">
        <v>10</v>
      </c>
      <c r="S19" s="203">
        <v>10</v>
      </c>
      <c r="T19" s="202">
        <v>44496</v>
      </c>
      <c r="U19" s="203">
        <v>0</v>
      </c>
      <c r="V19" s="203">
        <v>9</v>
      </c>
      <c r="W19" s="203">
        <v>9</v>
      </c>
      <c r="X19" s="202"/>
      <c r="Y19" s="203"/>
      <c r="Z19" s="203"/>
      <c r="AA19" s="211"/>
      <c r="AB19" s="149"/>
      <c r="AC19" s="56"/>
      <c r="AD19" s="56"/>
      <c r="AE19" s="57"/>
    </row>
    <row r="20" spans="1:31" s="14" customFormat="1" ht="20.100000000000001" customHeight="1" x14ac:dyDescent="0.15">
      <c r="A20" s="339"/>
      <c r="B20" s="330"/>
      <c r="C20" s="155" t="s">
        <v>4</v>
      </c>
      <c r="D20" s="155">
        <v>4</v>
      </c>
      <c r="E20" s="54">
        <f t="shared" si="2"/>
        <v>14</v>
      </c>
      <c r="F20" s="223">
        <f t="shared" si="1"/>
        <v>32</v>
      </c>
      <c r="G20" s="54">
        <f t="shared" si="3"/>
        <v>32</v>
      </c>
      <c r="H20" s="202">
        <v>44252</v>
      </c>
      <c r="I20" s="203">
        <v>14</v>
      </c>
      <c r="J20" s="203">
        <v>14</v>
      </c>
      <c r="K20" s="203">
        <v>14</v>
      </c>
      <c r="L20" s="202">
        <v>44308</v>
      </c>
      <c r="M20" s="203">
        <v>0</v>
      </c>
      <c r="N20" s="203">
        <v>6</v>
      </c>
      <c r="O20" s="203">
        <v>6</v>
      </c>
      <c r="P20" s="202">
        <v>44379</v>
      </c>
      <c r="Q20" s="203">
        <v>0</v>
      </c>
      <c r="R20" s="203">
        <v>5</v>
      </c>
      <c r="S20" s="203">
        <v>5</v>
      </c>
      <c r="T20" s="202">
        <v>44496</v>
      </c>
      <c r="U20" s="203">
        <v>0</v>
      </c>
      <c r="V20" s="203">
        <v>7</v>
      </c>
      <c r="W20" s="203">
        <v>7</v>
      </c>
      <c r="X20" s="202"/>
      <c r="Y20" s="203"/>
      <c r="Z20" s="203"/>
      <c r="AA20" s="211"/>
      <c r="AB20" s="149"/>
      <c r="AC20" s="56"/>
      <c r="AD20" s="56"/>
      <c r="AE20" s="57"/>
    </row>
    <row r="21" spans="1:31" s="14" customFormat="1" ht="20.100000000000001" customHeight="1" x14ac:dyDescent="0.15">
      <c r="A21" s="339"/>
      <c r="B21" s="330" t="s">
        <v>92</v>
      </c>
      <c r="C21" s="155" t="s">
        <v>23</v>
      </c>
      <c r="D21" s="155">
        <v>3</v>
      </c>
      <c r="E21" s="54">
        <f t="shared" si="2"/>
        <v>13</v>
      </c>
      <c r="F21" s="222">
        <f t="shared" si="1"/>
        <v>18</v>
      </c>
      <c r="G21" s="54">
        <f t="shared" si="3"/>
        <v>18</v>
      </c>
      <c r="H21" s="202">
        <v>44231</v>
      </c>
      <c r="I21" s="203">
        <v>12</v>
      </c>
      <c r="J21" s="203">
        <v>12</v>
      </c>
      <c r="K21" s="203">
        <v>12</v>
      </c>
      <c r="L21" s="202">
        <v>44294</v>
      </c>
      <c r="M21" s="203">
        <v>0</v>
      </c>
      <c r="N21" s="203">
        <v>0</v>
      </c>
      <c r="O21" s="203">
        <v>0</v>
      </c>
      <c r="P21" s="202">
        <v>44371</v>
      </c>
      <c r="Q21" s="203">
        <v>1</v>
      </c>
      <c r="R21" s="203">
        <v>3</v>
      </c>
      <c r="S21" s="203">
        <v>3</v>
      </c>
      <c r="T21" s="202">
        <v>44495</v>
      </c>
      <c r="U21" s="203">
        <v>0</v>
      </c>
      <c r="V21" s="203">
        <v>3</v>
      </c>
      <c r="W21" s="203">
        <v>3</v>
      </c>
      <c r="X21" s="202"/>
      <c r="Y21" s="203"/>
      <c r="Z21" s="203"/>
      <c r="AA21" s="211"/>
      <c r="AB21" s="149"/>
      <c r="AC21" s="56"/>
      <c r="AD21" s="56"/>
      <c r="AE21" s="57"/>
    </row>
    <row r="22" spans="1:31" s="14" customFormat="1" ht="20.100000000000001" customHeight="1" x14ac:dyDescent="0.15">
      <c r="A22" s="339"/>
      <c r="B22" s="330"/>
      <c r="C22" s="155" t="s">
        <v>124</v>
      </c>
      <c r="D22" s="155">
        <v>4</v>
      </c>
      <c r="E22" s="54">
        <f t="shared" si="2"/>
        <v>10</v>
      </c>
      <c r="F22" s="218">
        <f t="shared" si="1"/>
        <v>20</v>
      </c>
      <c r="G22" s="54">
        <f t="shared" si="3"/>
        <v>20</v>
      </c>
      <c r="H22" s="202">
        <v>44252</v>
      </c>
      <c r="I22" s="203">
        <v>10</v>
      </c>
      <c r="J22" s="203">
        <v>10</v>
      </c>
      <c r="K22" s="203">
        <v>10</v>
      </c>
      <c r="L22" s="202">
        <v>44308</v>
      </c>
      <c r="M22" s="203">
        <v>0</v>
      </c>
      <c r="N22" s="203">
        <v>2</v>
      </c>
      <c r="O22" s="203">
        <v>2</v>
      </c>
      <c r="P22" s="202">
        <v>44377</v>
      </c>
      <c r="Q22" s="203">
        <v>0</v>
      </c>
      <c r="R22" s="203">
        <v>4</v>
      </c>
      <c r="S22" s="203">
        <v>4</v>
      </c>
      <c r="T22" s="202">
        <v>44496</v>
      </c>
      <c r="U22" s="203">
        <v>0</v>
      </c>
      <c r="V22" s="203">
        <v>4</v>
      </c>
      <c r="W22" s="203">
        <v>4</v>
      </c>
      <c r="X22" s="202"/>
      <c r="Y22" s="203"/>
      <c r="Z22" s="203"/>
      <c r="AA22" s="211"/>
      <c r="AB22" s="149"/>
      <c r="AC22" s="56"/>
      <c r="AD22" s="56"/>
      <c r="AE22" s="57"/>
    </row>
    <row r="23" spans="1:31" s="14" customFormat="1" ht="20.100000000000001" customHeight="1" x14ac:dyDescent="0.15">
      <c r="A23" s="339"/>
      <c r="B23" s="330"/>
      <c r="C23" s="155" t="s">
        <v>32</v>
      </c>
      <c r="D23" s="155">
        <v>2</v>
      </c>
      <c r="E23" s="54">
        <f t="shared" si="2"/>
        <v>9</v>
      </c>
      <c r="F23" s="218">
        <f t="shared" si="1"/>
        <v>18</v>
      </c>
      <c r="G23" s="54">
        <f t="shared" si="3"/>
        <v>18</v>
      </c>
      <c r="H23" s="202">
        <v>44237</v>
      </c>
      <c r="I23" s="203">
        <v>9</v>
      </c>
      <c r="J23" s="203">
        <v>9</v>
      </c>
      <c r="K23" s="203">
        <v>9</v>
      </c>
      <c r="L23" s="202">
        <v>44294</v>
      </c>
      <c r="M23" s="203">
        <v>0</v>
      </c>
      <c r="N23" s="203">
        <v>0</v>
      </c>
      <c r="O23" s="203">
        <v>0</v>
      </c>
      <c r="P23" s="202"/>
      <c r="Q23" s="203"/>
      <c r="R23" s="203"/>
      <c r="S23" s="203"/>
      <c r="T23" s="202">
        <v>44495</v>
      </c>
      <c r="U23" s="203">
        <v>0</v>
      </c>
      <c r="V23" s="203">
        <v>9</v>
      </c>
      <c r="W23" s="203">
        <v>9</v>
      </c>
      <c r="X23" s="202"/>
      <c r="Y23" s="203"/>
      <c r="Z23" s="203"/>
      <c r="AA23" s="211"/>
      <c r="AB23" s="149"/>
      <c r="AC23" s="56"/>
      <c r="AD23" s="56"/>
      <c r="AE23" s="57"/>
    </row>
    <row r="24" spans="1:31" s="14" customFormat="1" ht="20.100000000000001" customHeight="1" x14ac:dyDescent="0.15">
      <c r="A24" s="343" t="s">
        <v>8</v>
      </c>
      <c r="B24" s="155" t="s">
        <v>59</v>
      </c>
      <c r="C24" s="155" t="s">
        <v>39</v>
      </c>
      <c r="D24" s="155">
        <v>4</v>
      </c>
      <c r="E24" s="54">
        <f t="shared" si="2"/>
        <v>1</v>
      </c>
      <c r="F24" s="218">
        <f t="shared" si="1"/>
        <v>4</v>
      </c>
      <c r="G24" s="54">
        <f t="shared" si="3"/>
        <v>4</v>
      </c>
      <c r="H24" s="202">
        <v>44260</v>
      </c>
      <c r="I24" s="203">
        <v>1</v>
      </c>
      <c r="J24" s="203">
        <v>1</v>
      </c>
      <c r="K24" s="203">
        <v>1</v>
      </c>
      <c r="L24" s="202">
        <v>44323</v>
      </c>
      <c r="M24" s="203">
        <v>0</v>
      </c>
      <c r="N24" s="203">
        <v>1</v>
      </c>
      <c r="O24" s="203">
        <v>1</v>
      </c>
      <c r="P24" s="202">
        <v>44393</v>
      </c>
      <c r="Q24" s="203">
        <v>0</v>
      </c>
      <c r="R24" s="203">
        <v>0</v>
      </c>
      <c r="S24" s="203">
        <v>0</v>
      </c>
      <c r="T24" s="202">
        <v>44503</v>
      </c>
      <c r="U24" s="203">
        <v>0</v>
      </c>
      <c r="V24" s="203">
        <v>1</v>
      </c>
      <c r="W24" s="203">
        <v>1</v>
      </c>
      <c r="X24" s="202">
        <v>44554</v>
      </c>
      <c r="Y24" s="203">
        <v>0</v>
      </c>
      <c r="Z24" s="203">
        <v>1</v>
      </c>
      <c r="AA24" s="211">
        <v>1</v>
      </c>
      <c r="AB24" s="149"/>
      <c r="AC24" s="56"/>
      <c r="AD24" s="56"/>
      <c r="AE24" s="57"/>
    </row>
    <row r="25" spans="1:31" s="14" customFormat="1" ht="20.100000000000001" customHeight="1" x14ac:dyDescent="0.15">
      <c r="A25" s="344"/>
      <c r="B25" s="155" t="s">
        <v>102</v>
      </c>
      <c r="C25" s="155" t="s">
        <v>16</v>
      </c>
      <c r="D25" s="58">
        <v>2</v>
      </c>
      <c r="E25" s="54">
        <f t="shared" si="2"/>
        <v>41</v>
      </c>
      <c r="F25" s="222">
        <f t="shared" si="1"/>
        <v>55</v>
      </c>
      <c r="G25" s="54">
        <f t="shared" si="3"/>
        <v>55</v>
      </c>
      <c r="H25" s="202">
        <v>44257</v>
      </c>
      <c r="I25" s="203">
        <v>41</v>
      </c>
      <c r="J25" s="203">
        <v>41</v>
      </c>
      <c r="K25" s="203">
        <v>41</v>
      </c>
      <c r="L25" s="202">
        <v>44315</v>
      </c>
      <c r="M25" s="203">
        <v>0</v>
      </c>
      <c r="N25" s="203">
        <v>0</v>
      </c>
      <c r="O25" s="203">
        <v>0</v>
      </c>
      <c r="P25" s="202">
        <v>44400</v>
      </c>
      <c r="Q25" s="203">
        <v>0</v>
      </c>
      <c r="R25" s="203">
        <v>0</v>
      </c>
      <c r="S25" s="203">
        <v>0</v>
      </c>
      <c r="T25" s="202">
        <v>44503</v>
      </c>
      <c r="U25" s="203">
        <v>0</v>
      </c>
      <c r="V25" s="203">
        <v>14</v>
      </c>
      <c r="W25" s="203">
        <v>14</v>
      </c>
      <c r="X25" s="202"/>
      <c r="Y25" s="203"/>
      <c r="Z25" s="203"/>
      <c r="AA25" s="211"/>
      <c r="AB25" s="149"/>
      <c r="AC25" s="56"/>
      <c r="AD25" s="56"/>
      <c r="AE25" s="57"/>
    </row>
    <row r="26" spans="1:31" s="14" customFormat="1" ht="20.100000000000001" customHeight="1" x14ac:dyDescent="0.15">
      <c r="A26" s="339" t="s">
        <v>8</v>
      </c>
      <c r="B26" s="330" t="s">
        <v>102</v>
      </c>
      <c r="C26" s="155" t="s">
        <v>45</v>
      </c>
      <c r="D26" s="155">
        <v>2</v>
      </c>
      <c r="E26" s="54">
        <f t="shared" si="2"/>
        <v>25</v>
      </c>
      <c r="F26" s="218">
        <f t="shared" si="1"/>
        <v>33</v>
      </c>
      <c r="G26" s="54">
        <f t="shared" si="3"/>
        <v>33</v>
      </c>
      <c r="H26" s="202">
        <v>44257</v>
      </c>
      <c r="I26" s="203">
        <v>25</v>
      </c>
      <c r="J26" s="203">
        <v>25</v>
      </c>
      <c r="K26" s="203">
        <v>25</v>
      </c>
      <c r="L26" s="202">
        <v>44315</v>
      </c>
      <c r="M26" s="203">
        <v>0</v>
      </c>
      <c r="N26" s="203">
        <v>0</v>
      </c>
      <c r="O26" s="203">
        <v>0</v>
      </c>
      <c r="P26" s="202">
        <v>44399</v>
      </c>
      <c r="Q26" s="203">
        <v>0</v>
      </c>
      <c r="R26" s="203">
        <v>0</v>
      </c>
      <c r="S26" s="203">
        <v>0</v>
      </c>
      <c r="T26" s="202">
        <v>44502</v>
      </c>
      <c r="U26" s="203">
        <v>0</v>
      </c>
      <c r="V26" s="203">
        <v>8</v>
      </c>
      <c r="W26" s="203">
        <v>8</v>
      </c>
      <c r="X26" s="202"/>
      <c r="Y26" s="203"/>
      <c r="Z26" s="203"/>
      <c r="AA26" s="211"/>
      <c r="AB26" s="149"/>
      <c r="AC26" s="56"/>
      <c r="AD26" s="56"/>
      <c r="AE26" s="57"/>
    </row>
    <row r="27" spans="1:31" s="14" customFormat="1" ht="20.100000000000001" customHeight="1" x14ac:dyDescent="0.15">
      <c r="A27" s="339"/>
      <c r="B27" s="330"/>
      <c r="C27" s="155" t="s">
        <v>113</v>
      </c>
      <c r="D27" s="155">
        <v>3</v>
      </c>
      <c r="E27" s="54">
        <f t="shared" si="2"/>
        <v>44</v>
      </c>
      <c r="F27" s="218">
        <f t="shared" si="1"/>
        <v>58</v>
      </c>
      <c r="G27" s="54">
        <f t="shared" si="3"/>
        <v>58</v>
      </c>
      <c r="H27" s="182">
        <v>44257</v>
      </c>
      <c r="I27" s="183">
        <v>41</v>
      </c>
      <c r="J27" s="203">
        <v>41</v>
      </c>
      <c r="K27" s="203">
        <v>41</v>
      </c>
      <c r="L27" s="202">
        <v>44316</v>
      </c>
      <c r="M27" s="203">
        <v>0</v>
      </c>
      <c r="N27" s="203">
        <v>0</v>
      </c>
      <c r="O27" s="203">
        <v>0</v>
      </c>
      <c r="P27" s="202">
        <v>44399</v>
      </c>
      <c r="Q27" s="203">
        <v>3</v>
      </c>
      <c r="R27" s="203">
        <v>5</v>
      </c>
      <c r="S27" s="203">
        <v>5</v>
      </c>
      <c r="T27" s="202">
        <v>44502</v>
      </c>
      <c r="U27" s="203">
        <v>0</v>
      </c>
      <c r="V27" s="203">
        <v>12</v>
      </c>
      <c r="W27" s="203">
        <v>12</v>
      </c>
      <c r="X27" s="202"/>
      <c r="Y27" s="203"/>
      <c r="Z27" s="203"/>
      <c r="AA27" s="211"/>
      <c r="AB27" s="149"/>
      <c r="AC27" s="56"/>
      <c r="AD27" s="56"/>
      <c r="AE27" s="57"/>
    </row>
    <row r="28" spans="1:31" s="14" customFormat="1" ht="20.100000000000001" customHeight="1" x14ac:dyDescent="0.15">
      <c r="A28" s="339" t="s">
        <v>84</v>
      </c>
      <c r="B28" s="330" t="s">
        <v>10</v>
      </c>
      <c r="C28" s="155" t="s">
        <v>138</v>
      </c>
      <c r="D28" s="155">
        <v>4</v>
      </c>
      <c r="E28" s="54">
        <f t="shared" si="2"/>
        <v>30</v>
      </c>
      <c r="F28" s="218">
        <f t="shared" si="1"/>
        <v>57</v>
      </c>
      <c r="G28" s="54">
        <f t="shared" si="3"/>
        <v>57</v>
      </c>
      <c r="H28" s="221">
        <v>44260</v>
      </c>
      <c r="I28" s="183">
        <v>30</v>
      </c>
      <c r="J28" s="203">
        <v>30</v>
      </c>
      <c r="K28" s="203">
        <v>30</v>
      </c>
      <c r="L28" s="202">
        <v>44328</v>
      </c>
      <c r="M28" s="203">
        <v>0</v>
      </c>
      <c r="N28" s="203">
        <v>7</v>
      </c>
      <c r="O28" s="203">
        <v>7</v>
      </c>
      <c r="P28" s="202">
        <v>44410</v>
      </c>
      <c r="Q28" s="203">
        <v>0</v>
      </c>
      <c r="R28" s="203">
        <v>15</v>
      </c>
      <c r="S28" s="203">
        <v>15</v>
      </c>
      <c r="T28" s="202">
        <v>44533</v>
      </c>
      <c r="U28" s="203">
        <v>0</v>
      </c>
      <c r="V28" s="203">
        <v>5</v>
      </c>
      <c r="W28" s="203">
        <v>5</v>
      </c>
      <c r="X28" s="202"/>
      <c r="Y28" s="203"/>
      <c r="Z28" s="203"/>
      <c r="AA28" s="211"/>
      <c r="AB28" s="149"/>
      <c r="AC28" s="56"/>
      <c r="AD28" s="56"/>
      <c r="AE28" s="57"/>
    </row>
    <row r="29" spans="1:31" s="14" customFormat="1" ht="20.100000000000001" customHeight="1" x14ac:dyDescent="0.15">
      <c r="A29" s="339"/>
      <c r="B29" s="330"/>
      <c r="C29" s="155" t="s">
        <v>77</v>
      </c>
      <c r="D29" s="155">
        <v>3</v>
      </c>
      <c r="E29" s="54">
        <f t="shared" si="2"/>
        <v>18</v>
      </c>
      <c r="F29" s="218">
        <f t="shared" si="1"/>
        <v>20</v>
      </c>
      <c r="G29" s="54">
        <f t="shared" si="3"/>
        <v>20</v>
      </c>
      <c r="H29" s="182">
        <v>44230</v>
      </c>
      <c r="I29" s="183">
        <v>18</v>
      </c>
      <c r="J29" s="203">
        <v>18</v>
      </c>
      <c r="K29" s="203">
        <v>18</v>
      </c>
      <c r="L29" s="202">
        <v>44294</v>
      </c>
      <c r="M29" s="203">
        <v>0</v>
      </c>
      <c r="N29" s="203">
        <v>0</v>
      </c>
      <c r="O29" s="203">
        <v>0</v>
      </c>
      <c r="P29" s="202">
        <v>44376</v>
      </c>
      <c r="Q29" s="203">
        <v>0</v>
      </c>
      <c r="R29" s="203">
        <v>1</v>
      </c>
      <c r="S29" s="203">
        <v>1</v>
      </c>
      <c r="T29" s="202">
        <v>44501</v>
      </c>
      <c r="U29" s="203">
        <v>0</v>
      </c>
      <c r="V29" s="203">
        <v>1</v>
      </c>
      <c r="W29" s="203">
        <v>1</v>
      </c>
      <c r="X29" s="202"/>
      <c r="Y29" s="203"/>
      <c r="Z29" s="203"/>
      <c r="AA29" s="211"/>
      <c r="AB29" s="149"/>
      <c r="AC29" s="56"/>
      <c r="AD29" s="56"/>
      <c r="AE29" s="57"/>
    </row>
    <row r="30" spans="1:31" s="14" customFormat="1" ht="20.100000000000001" customHeight="1" x14ac:dyDescent="0.15">
      <c r="A30" s="339"/>
      <c r="B30" s="330"/>
      <c r="C30" s="155" t="s">
        <v>76</v>
      </c>
      <c r="D30" s="155">
        <v>4</v>
      </c>
      <c r="E30" s="54">
        <f t="shared" si="2"/>
        <v>42</v>
      </c>
      <c r="F30" s="218">
        <f t="shared" si="1"/>
        <v>50</v>
      </c>
      <c r="G30" s="54">
        <f t="shared" si="3"/>
        <v>50</v>
      </c>
      <c r="H30" s="202">
        <v>44230</v>
      </c>
      <c r="I30" s="203">
        <v>37</v>
      </c>
      <c r="J30" s="203">
        <v>37</v>
      </c>
      <c r="K30" s="203">
        <v>37</v>
      </c>
      <c r="L30" s="202">
        <v>44292</v>
      </c>
      <c r="M30" s="203">
        <v>5</v>
      </c>
      <c r="N30" s="203">
        <v>5</v>
      </c>
      <c r="O30" s="203">
        <v>5</v>
      </c>
      <c r="P30" s="202">
        <v>44376</v>
      </c>
      <c r="Q30" s="203">
        <v>0</v>
      </c>
      <c r="R30" s="203">
        <v>2</v>
      </c>
      <c r="S30" s="203">
        <v>2</v>
      </c>
      <c r="T30" s="202">
        <v>44501</v>
      </c>
      <c r="U30" s="203">
        <v>0</v>
      </c>
      <c r="V30" s="203">
        <v>6</v>
      </c>
      <c r="W30" s="203">
        <v>6</v>
      </c>
      <c r="X30" s="202"/>
      <c r="Y30" s="203"/>
      <c r="Z30" s="203"/>
      <c r="AA30" s="211"/>
      <c r="AB30" s="149"/>
      <c r="AC30" s="56"/>
      <c r="AD30" s="56"/>
      <c r="AE30" s="57"/>
    </row>
    <row r="31" spans="1:31" s="14" customFormat="1" ht="20.100000000000001" customHeight="1" x14ac:dyDescent="0.15">
      <c r="A31" s="339"/>
      <c r="B31" s="155" t="s">
        <v>104</v>
      </c>
      <c r="C31" s="155" t="s">
        <v>67</v>
      </c>
      <c r="D31" s="155">
        <v>4</v>
      </c>
      <c r="E31" s="54">
        <f t="shared" si="2"/>
        <v>5</v>
      </c>
      <c r="F31" s="218">
        <f t="shared" si="1"/>
        <v>20</v>
      </c>
      <c r="G31" s="54">
        <f t="shared" si="3"/>
        <v>20</v>
      </c>
      <c r="H31" s="202">
        <v>44288</v>
      </c>
      <c r="I31" s="203">
        <v>5</v>
      </c>
      <c r="J31" s="203">
        <v>5</v>
      </c>
      <c r="K31" s="203">
        <v>5</v>
      </c>
      <c r="L31" s="202">
        <v>44368</v>
      </c>
      <c r="M31" s="203">
        <v>0</v>
      </c>
      <c r="N31" s="203">
        <v>5</v>
      </c>
      <c r="O31" s="203">
        <v>5</v>
      </c>
      <c r="P31" s="202">
        <v>44475</v>
      </c>
      <c r="Q31" s="203">
        <v>0</v>
      </c>
      <c r="R31" s="203">
        <v>5</v>
      </c>
      <c r="S31" s="203">
        <v>5</v>
      </c>
      <c r="T31" s="202">
        <v>44544</v>
      </c>
      <c r="U31" s="203">
        <v>0</v>
      </c>
      <c r="V31" s="203">
        <v>5</v>
      </c>
      <c r="W31" s="203">
        <v>5</v>
      </c>
      <c r="X31" s="202"/>
      <c r="Y31" s="203"/>
      <c r="Z31" s="203"/>
      <c r="AA31" s="211"/>
      <c r="AB31" s="149"/>
      <c r="AC31" s="56"/>
      <c r="AD31" s="56"/>
      <c r="AE31" s="57"/>
    </row>
    <row r="32" spans="1:31" s="14" customFormat="1" ht="20.100000000000001" customHeight="1" x14ac:dyDescent="0.15">
      <c r="A32" s="339"/>
      <c r="B32" s="330" t="s">
        <v>50</v>
      </c>
      <c r="C32" s="155" t="s">
        <v>33</v>
      </c>
      <c r="D32" s="155">
        <v>4</v>
      </c>
      <c r="E32" s="54">
        <f t="shared" si="2"/>
        <v>16</v>
      </c>
      <c r="F32" s="218">
        <f t="shared" si="1"/>
        <v>38</v>
      </c>
      <c r="G32" s="54">
        <f t="shared" si="3"/>
        <v>38</v>
      </c>
      <c r="H32" s="202">
        <v>44266</v>
      </c>
      <c r="I32" s="203">
        <v>16</v>
      </c>
      <c r="J32" s="203">
        <v>16</v>
      </c>
      <c r="K32" s="203">
        <v>16</v>
      </c>
      <c r="L32" s="202">
        <v>44333</v>
      </c>
      <c r="M32" s="203">
        <v>0</v>
      </c>
      <c r="N32" s="203">
        <v>3</v>
      </c>
      <c r="O32" s="203">
        <v>3</v>
      </c>
      <c r="P32" s="202">
        <v>44462</v>
      </c>
      <c r="Q32" s="203">
        <v>0</v>
      </c>
      <c r="R32" s="203">
        <v>15</v>
      </c>
      <c r="S32" s="203">
        <v>15</v>
      </c>
      <c r="T32" s="202">
        <v>44517</v>
      </c>
      <c r="U32" s="203">
        <v>0</v>
      </c>
      <c r="V32" s="203">
        <v>4</v>
      </c>
      <c r="W32" s="203">
        <v>4</v>
      </c>
      <c r="X32" s="202"/>
      <c r="Y32" s="203"/>
      <c r="Z32" s="203"/>
      <c r="AA32" s="211"/>
      <c r="AB32" s="149"/>
      <c r="AC32" s="56"/>
      <c r="AD32" s="56"/>
      <c r="AE32" s="57"/>
    </row>
    <row r="33" spans="1:31" s="14" customFormat="1" ht="20.100000000000001" customHeight="1" x14ac:dyDescent="0.15">
      <c r="A33" s="339"/>
      <c r="B33" s="330"/>
      <c r="C33" s="155" t="s">
        <v>207</v>
      </c>
      <c r="D33" s="155">
        <v>4</v>
      </c>
      <c r="E33" s="54">
        <f t="shared" si="2"/>
        <v>13</v>
      </c>
      <c r="F33" s="222">
        <f t="shared" si="1"/>
        <v>32</v>
      </c>
      <c r="G33" s="54">
        <f t="shared" si="3"/>
        <v>32</v>
      </c>
      <c r="H33" s="202">
        <v>44266</v>
      </c>
      <c r="I33" s="203">
        <v>12</v>
      </c>
      <c r="J33" s="203">
        <v>12</v>
      </c>
      <c r="K33" s="203">
        <v>12</v>
      </c>
      <c r="L33" s="202">
        <v>44333</v>
      </c>
      <c r="M33" s="203">
        <v>1</v>
      </c>
      <c r="N33" s="203">
        <v>4</v>
      </c>
      <c r="O33" s="203">
        <v>4</v>
      </c>
      <c r="P33" s="202">
        <v>44462</v>
      </c>
      <c r="Q33" s="203">
        <v>0</v>
      </c>
      <c r="R33" s="203">
        <v>11</v>
      </c>
      <c r="S33" s="203">
        <v>11</v>
      </c>
      <c r="T33" s="202">
        <v>44517</v>
      </c>
      <c r="U33" s="203">
        <v>0</v>
      </c>
      <c r="V33" s="203">
        <v>5</v>
      </c>
      <c r="W33" s="203">
        <v>5</v>
      </c>
      <c r="X33" s="202"/>
      <c r="Y33" s="203"/>
      <c r="Z33" s="203"/>
      <c r="AA33" s="211"/>
      <c r="AB33" s="149"/>
      <c r="AC33" s="56"/>
      <c r="AD33" s="56"/>
      <c r="AE33" s="57"/>
    </row>
    <row r="34" spans="1:31" s="14" customFormat="1" ht="20.100000000000001" customHeight="1" x14ac:dyDescent="0.15">
      <c r="A34" s="339"/>
      <c r="B34" s="330"/>
      <c r="C34" s="155" t="s">
        <v>196</v>
      </c>
      <c r="D34" s="155">
        <v>3</v>
      </c>
      <c r="E34" s="54">
        <f t="shared" si="2"/>
        <v>37</v>
      </c>
      <c r="F34" s="218">
        <f t="shared" si="1"/>
        <v>83</v>
      </c>
      <c r="G34" s="54">
        <f t="shared" si="3"/>
        <v>83</v>
      </c>
      <c r="H34" s="202">
        <v>44266</v>
      </c>
      <c r="I34" s="203">
        <v>36</v>
      </c>
      <c r="J34" s="203">
        <v>36</v>
      </c>
      <c r="K34" s="203">
        <v>36</v>
      </c>
      <c r="L34" s="202">
        <v>44347</v>
      </c>
      <c r="M34" s="203">
        <v>1</v>
      </c>
      <c r="N34" s="203">
        <v>13</v>
      </c>
      <c r="O34" s="203">
        <v>13</v>
      </c>
      <c r="P34" s="202">
        <v>44462</v>
      </c>
      <c r="Q34" s="203">
        <v>0</v>
      </c>
      <c r="R34" s="203">
        <v>34</v>
      </c>
      <c r="S34" s="203">
        <v>34</v>
      </c>
      <c r="T34" s="202"/>
      <c r="U34" s="203"/>
      <c r="V34" s="203"/>
      <c r="W34" s="203"/>
      <c r="X34" s="202"/>
      <c r="Y34" s="203"/>
      <c r="Z34" s="203"/>
      <c r="AA34" s="211"/>
      <c r="AB34" s="149"/>
      <c r="AC34" s="56"/>
      <c r="AD34" s="56"/>
      <c r="AE34" s="57"/>
    </row>
    <row r="35" spans="1:31" s="14" customFormat="1" ht="20.100000000000001" customHeight="1" x14ac:dyDescent="0.15">
      <c r="A35" s="339"/>
      <c r="B35" s="155" t="s">
        <v>18</v>
      </c>
      <c r="C35" s="155" t="s">
        <v>124</v>
      </c>
      <c r="D35" s="155">
        <v>3</v>
      </c>
      <c r="E35" s="54">
        <f t="shared" si="2"/>
        <v>2</v>
      </c>
      <c r="F35" s="218">
        <f t="shared" si="1"/>
        <v>4</v>
      </c>
      <c r="G35" s="54">
        <f t="shared" si="3"/>
        <v>4</v>
      </c>
      <c r="H35" s="202">
        <v>44284</v>
      </c>
      <c r="I35" s="203">
        <v>2</v>
      </c>
      <c r="J35" s="203">
        <v>2</v>
      </c>
      <c r="K35" s="203">
        <v>2</v>
      </c>
      <c r="L35" s="202">
        <v>44358</v>
      </c>
      <c r="M35" s="203">
        <v>0</v>
      </c>
      <c r="N35" s="203">
        <v>2</v>
      </c>
      <c r="O35" s="203">
        <v>2</v>
      </c>
      <c r="P35" s="202">
        <v>44476</v>
      </c>
      <c r="Q35" s="203">
        <v>0</v>
      </c>
      <c r="R35" s="203">
        <v>0</v>
      </c>
      <c r="S35" s="203">
        <v>0</v>
      </c>
      <c r="T35" s="202"/>
      <c r="U35" s="203"/>
      <c r="V35" s="203"/>
      <c r="W35" s="203"/>
      <c r="X35" s="202"/>
      <c r="Y35" s="203"/>
      <c r="Z35" s="203"/>
      <c r="AA35" s="211"/>
      <c r="AB35" s="149"/>
      <c r="AC35" s="56"/>
      <c r="AD35" s="56"/>
      <c r="AE35" s="57"/>
    </row>
    <row r="36" spans="1:31" s="14" customFormat="1" ht="20.100000000000001" customHeight="1" x14ac:dyDescent="0.15">
      <c r="A36" s="163" t="s">
        <v>3</v>
      </c>
      <c r="B36" s="155" t="s">
        <v>49</v>
      </c>
      <c r="C36" s="155" t="s">
        <v>11</v>
      </c>
      <c r="D36" s="155">
        <v>2</v>
      </c>
      <c r="E36" s="54">
        <f t="shared" si="2"/>
        <v>44</v>
      </c>
      <c r="F36" s="218">
        <f t="shared" si="1"/>
        <v>70</v>
      </c>
      <c r="G36" s="54">
        <f t="shared" si="3"/>
        <v>70</v>
      </c>
      <c r="H36" s="202">
        <v>44258</v>
      </c>
      <c r="I36" s="203">
        <v>44</v>
      </c>
      <c r="J36" s="203">
        <v>44</v>
      </c>
      <c r="K36" s="203">
        <v>44</v>
      </c>
      <c r="L36" s="202">
        <v>44326</v>
      </c>
      <c r="M36" s="203">
        <v>0</v>
      </c>
      <c r="N36" s="203">
        <v>0</v>
      </c>
      <c r="O36" s="203">
        <v>0</v>
      </c>
      <c r="P36" s="202">
        <v>44390</v>
      </c>
      <c r="Q36" s="203">
        <v>0</v>
      </c>
      <c r="R36" s="203">
        <v>0</v>
      </c>
      <c r="S36" s="203">
        <v>0</v>
      </c>
      <c r="T36" s="202">
        <v>44501</v>
      </c>
      <c r="U36" s="203">
        <v>0</v>
      </c>
      <c r="V36" s="203">
        <v>26</v>
      </c>
      <c r="W36" s="203">
        <v>26</v>
      </c>
      <c r="X36" s="202"/>
      <c r="Y36" s="203"/>
      <c r="Z36" s="203"/>
      <c r="AA36" s="211"/>
      <c r="AB36" s="149"/>
      <c r="AC36" s="56"/>
      <c r="AD36" s="56"/>
      <c r="AE36" s="57"/>
    </row>
    <row r="37" spans="1:31" s="14" customFormat="1" ht="20.100000000000001" customHeight="1" x14ac:dyDescent="0.15">
      <c r="A37" s="339" t="s">
        <v>84</v>
      </c>
      <c r="B37" s="155" t="s">
        <v>123</v>
      </c>
      <c r="C37" s="155" t="s">
        <v>132</v>
      </c>
      <c r="D37" s="155">
        <v>4</v>
      </c>
      <c r="E37" s="54">
        <f t="shared" si="2"/>
        <v>26</v>
      </c>
      <c r="F37" s="218">
        <f t="shared" si="1"/>
        <v>68</v>
      </c>
      <c r="G37" s="54">
        <f t="shared" si="3"/>
        <v>68</v>
      </c>
      <c r="H37" s="202">
        <v>44284</v>
      </c>
      <c r="I37" s="203">
        <v>26</v>
      </c>
      <c r="J37" s="203">
        <v>26</v>
      </c>
      <c r="K37" s="203">
        <v>26</v>
      </c>
      <c r="L37" s="202">
        <v>44356</v>
      </c>
      <c r="M37" s="203">
        <v>0</v>
      </c>
      <c r="N37" s="203">
        <v>7</v>
      </c>
      <c r="O37" s="203">
        <v>7</v>
      </c>
      <c r="P37" s="202">
        <v>44466</v>
      </c>
      <c r="Q37" s="203">
        <v>0</v>
      </c>
      <c r="R37" s="203">
        <v>26</v>
      </c>
      <c r="S37" s="203">
        <v>26</v>
      </c>
      <c r="T37" s="202">
        <v>44524</v>
      </c>
      <c r="U37" s="203">
        <v>0</v>
      </c>
      <c r="V37" s="203">
        <v>9</v>
      </c>
      <c r="W37" s="203">
        <v>9</v>
      </c>
      <c r="X37" s="202"/>
      <c r="Y37" s="203"/>
      <c r="Z37" s="203"/>
      <c r="AA37" s="211"/>
      <c r="AB37" s="149"/>
      <c r="AC37" s="56"/>
      <c r="AD37" s="56"/>
      <c r="AE37" s="57"/>
    </row>
    <row r="38" spans="1:31" s="14" customFormat="1" ht="20.100000000000001" customHeight="1" x14ac:dyDescent="0.15">
      <c r="A38" s="339"/>
      <c r="B38" s="155" t="s">
        <v>18</v>
      </c>
      <c r="C38" s="155" t="s">
        <v>216</v>
      </c>
      <c r="D38" s="155">
        <v>4</v>
      </c>
      <c r="E38" s="54">
        <f t="shared" si="2"/>
        <v>34</v>
      </c>
      <c r="F38" s="218">
        <f t="shared" si="1"/>
        <v>68</v>
      </c>
      <c r="G38" s="54">
        <f t="shared" si="3"/>
        <v>68</v>
      </c>
      <c r="H38" s="202">
        <v>44284</v>
      </c>
      <c r="I38" s="203">
        <v>33</v>
      </c>
      <c r="J38" s="203">
        <v>33</v>
      </c>
      <c r="K38" s="203">
        <v>33</v>
      </c>
      <c r="L38" s="202">
        <v>44358</v>
      </c>
      <c r="M38" s="203">
        <v>1</v>
      </c>
      <c r="N38" s="203">
        <v>11</v>
      </c>
      <c r="O38" s="203">
        <v>11</v>
      </c>
      <c r="P38" s="202">
        <v>44476</v>
      </c>
      <c r="Q38" s="203">
        <v>0</v>
      </c>
      <c r="R38" s="203">
        <v>13</v>
      </c>
      <c r="S38" s="203">
        <v>13</v>
      </c>
      <c r="T38" s="202">
        <v>44524</v>
      </c>
      <c r="U38" s="203">
        <v>0</v>
      </c>
      <c r="V38" s="203">
        <v>11</v>
      </c>
      <c r="W38" s="203">
        <v>11</v>
      </c>
      <c r="X38" s="202"/>
      <c r="Y38" s="203"/>
      <c r="Z38" s="203"/>
      <c r="AA38" s="211"/>
      <c r="AB38" s="149"/>
      <c r="AC38" s="56"/>
      <c r="AD38" s="56"/>
      <c r="AE38" s="57"/>
    </row>
    <row r="39" spans="1:31" s="14" customFormat="1" ht="20.100000000000001" customHeight="1" x14ac:dyDescent="0.15">
      <c r="A39" s="339" t="s">
        <v>107</v>
      </c>
      <c r="B39" s="330" t="s">
        <v>152</v>
      </c>
      <c r="C39" s="155" t="s">
        <v>221</v>
      </c>
      <c r="D39" s="155">
        <v>4</v>
      </c>
      <c r="E39" s="54">
        <f t="shared" si="2"/>
        <v>2</v>
      </c>
      <c r="F39" s="218">
        <f t="shared" si="1"/>
        <v>8</v>
      </c>
      <c r="G39" s="54">
        <f t="shared" si="3"/>
        <v>8</v>
      </c>
      <c r="H39" s="202">
        <v>44273</v>
      </c>
      <c r="I39" s="203">
        <v>2</v>
      </c>
      <c r="J39" s="203">
        <v>2</v>
      </c>
      <c r="K39" s="203">
        <v>2</v>
      </c>
      <c r="L39" s="202">
        <v>44355</v>
      </c>
      <c r="M39" s="203">
        <v>0</v>
      </c>
      <c r="N39" s="203">
        <v>2</v>
      </c>
      <c r="O39" s="203">
        <v>2</v>
      </c>
      <c r="P39" s="202">
        <v>44469</v>
      </c>
      <c r="Q39" s="203">
        <v>0</v>
      </c>
      <c r="R39" s="203">
        <v>2</v>
      </c>
      <c r="S39" s="203">
        <v>2</v>
      </c>
      <c r="T39" s="202">
        <v>44504</v>
      </c>
      <c r="U39" s="203">
        <v>0</v>
      </c>
      <c r="V39" s="203">
        <v>2</v>
      </c>
      <c r="W39" s="203">
        <v>2</v>
      </c>
      <c r="X39" s="202"/>
      <c r="Y39" s="203"/>
      <c r="Z39" s="203"/>
      <c r="AA39" s="211"/>
      <c r="AB39" s="149"/>
      <c r="AC39" s="56"/>
      <c r="AD39" s="56"/>
      <c r="AE39" s="57"/>
    </row>
    <row r="40" spans="1:31" s="14" customFormat="1" ht="20.100000000000001" customHeight="1" x14ac:dyDescent="0.15">
      <c r="A40" s="339"/>
      <c r="B40" s="330"/>
      <c r="C40" s="155" t="s">
        <v>231</v>
      </c>
      <c r="D40" s="155">
        <v>4</v>
      </c>
      <c r="E40" s="54">
        <f t="shared" si="2"/>
        <v>12</v>
      </c>
      <c r="F40" s="218">
        <f t="shared" si="1"/>
        <v>34</v>
      </c>
      <c r="G40" s="54">
        <f t="shared" si="3"/>
        <v>34</v>
      </c>
      <c r="H40" s="202">
        <v>44273</v>
      </c>
      <c r="I40" s="203">
        <v>11</v>
      </c>
      <c r="J40" s="203">
        <v>11</v>
      </c>
      <c r="K40" s="203">
        <v>11</v>
      </c>
      <c r="L40" s="202">
        <v>44355</v>
      </c>
      <c r="M40" s="203">
        <v>0</v>
      </c>
      <c r="N40" s="203">
        <v>5</v>
      </c>
      <c r="O40" s="183">
        <v>5</v>
      </c>
      <c r="P40" s="182">
        <v>44469</v>
      </c>
      <c r="Q40" s="183">
        <v>0</v>
      </c>
      <c r="R40" s="203">
        <v>11</v>
      </c>
      <c r="S40" s="203">
        <v>11</v>
      </c>
      <c r="T40" s="202">
        <v>44504</v>
      </c>
      <c r="U40" s="203">
        <v>1</v>
      </c>
      <c r="V40" s="203">
        <v>7</v>
      </c>
      <c r="W40" s="203">
        <v>7</v>
      </c>
      <c r="X40" s="202"/>
      <c r="Y40" s="203"/>
      <c r="Z40" s="203"/>
      <c r="AA40" s="211"/>
      <c r="AB40" s="149"/>
      <c r="AC40" s="56"/>
      <c r="AD40" s="56"/>
      <c r="AE40" s="57"/>
    </row>
    <row r="41" spans="1:31" s="14" customFormat="1" ht="20.100000000000001" customHeight="1" x14ac:dyDescent="0.15">
      <c r="A41" s="339"/>
      <c r="B41" s="330"/>
      <c r="C41" s="155" t="s">
        <v>150</v>
      </c>
      <c r="D41" s="155">
        <v>4</v>
      </c>
      <c r="E41" s="54">
        <f t="shared" si="2"/>
        <v>5</v>
      </c>
      <c r="F41" s="218">
        <f t="shared" si="1"/>
        <v>16</v>
      </c>
      <c r="G41" s="54">
        <f t="shared" si="3"/>
        <v>16</v>
      </c>
      <c r="H41" s="202">
        <v>44273</v>
      </c>
      <c r="I41" s="203">
        <v>2</v>
      </c>
      <c r="J41" s="203">
        <v>2</v>
      </c>
      <c r="K41" s="203">
        <v>2</v>
      </c>
      <c r="L41" s="202">
        <v>44355</v>
      </c>
      <c r="M41" s="203">
        <v>3</v>
      </c>
      <c r="N41" s="203">
        <v>4</v>
      </c>
      <c r="O41" s="183">
        <v>4</v>
      </c>
      <c r="P41" s="221">
        <v>44470</v>
      </c>
      <c r="Q41" s="183">
        <v>0</v>
      </c>
      <c r="R41" s="203">
        <v>5</v>
      </c>
      <c r="S41" s="203">
        <v>5</v>
      </c>
      <c r="T41" s="202">
        <v>44504</v>
      </c>
      <c r="U41" s="203">
        <v>0</v>
      </c>
      <c r="V41" s="203">
        <v>5</v>
      </c>
      <c r="W41" s="203">
        <v>5</v>
      </c>
      <c r="X41" s="202"/>
      <c r="Y41" s="203"/>
      <c r="Z41" s="203"/>
      <c r="AA41" s="211"/>
      <c r="AB41" s="149"/>
      <c r="AC41" s="56"/>
      <c r="AD41" s="56"/>
      <c r="AE41" s="57"/>
    </row>
    <row r="42" spans="1:31" s="14" customFormat="1" ht="20.100000000000001" customHeight="1" x14ac:dyDescent="0.15">
      <c r="A42" s="339"/>
      <c r="B42" s="330"/>
      <c r="C42" s="155" t="s">
        <v>144</v>
      </c>
      <c r="D42" s="155">
        <v>4</v>
      </c>
      <c r="E42" s="54">
        <f t="shared" si="2"/>
        <v>3</v>
      </c>
      <c r="F42" s="218">
        <f t="shared" si="1"/>
        <v>12</v>
      </c>
      <c r="G42" s="54">
        <f t="shared" si="3"/>
        <v>12</v>
      </c>
      <c r="H42" s="202">
        <v>44273</v>
      </c>
      <c r="I42" s="203">
        <v>3</v>
      </c>
      <c r="J42" s="203">
        <v>3</v>
      </c>
      <c r="K42" s="203">
        <v>3</v>
      </c>
      <c r="L42" s="202">
        <v>44355</v>
      </c>
      <c r="M42" s="203">
        <v>0</v>
      </c>
      <c r="N42" s="203">
        <v>3</v>
      </c>
      <c r="O42" s="183">
        <v>3</v>
      </c>
      <c r="P42" s="182">
        <v>44470</v>
      </c>
      <c r="Q42" s="183">
        <v>0</v>
      </c>
      <c r="R42" s="203">
        <v>3</v>
      </c>
      <c r="S42" s="203">
        <v>3</v>
      </c>
      <c r="T42" s="202">
        <v>44504</v>
      </c>
      <c r="U42" s="203">
        <v>0</v>
      </c>
      <c r="V42" s="203">
        <v>3</v>
      </c>
      <c r="W42" s="203">
        <v>3</v>
      </c>
      <c r="X42" s="202"/>
      <c r="Y42" s="203"/>
      <c r="Z42" s="203"/>
      <c r="AA42" s="211"/>
      <c r="AB42" s="149"/>
      <c r="AC42" s="56"/>
      <c r="AD42" s="56"/>
      <c r="AE42" s="57"/>
    </row>
    <row r="43" spans="1:31" s="14" customFormat="1" ht="20.100000000000001" customHeight="1" x14ac:dyDescent="0.15">
      <c r="A43" s="339" t="s">
        <v>84</v>
      </c>
      <c r="B43" s="347" t="s">
        <v>183</v>
      </c>
      <c r="C43" s="155" t="s">
        <v>14</v>
      </c>
      <c r="D43" s="155">
        <v>3</v>
      </c>
      <c r="E43" s="54">
        <f t="shared" si="2"/>
        <v>39</v>
      </c>
      <c r="F43" s="218">
        <f t="shared" si="1"/>
        <v>66</v>
      </c>
      <c r="G43" s="54">
        <f t="shared" si="3"/>
        <v>66</v>
      </c>
      <c r="H43" s="202">
        <v>44313</v>
      </c>
      <c r="I43" s="203">
        <v>12</v>
      </c>
      <c r="J43" s="203">
        <v>15</v>
      </c>
      <c r="K43" s="203">
        <v>15</v>
      </c>
      <c r="L43" s="202">
        <v>44369</v>
      </c>
      <c r="M43" s="203">
        <v>1</v>
      </c>
      <c r="N43" s="203">
        <v>12</v>
      </c>
      <c r="O43" s="203">
        <v>12</v>
      </c>
      <c r="P43" s="202">
        <v>44474</v>
      </c>
      <c r="Q43" s="203">
        <v>26</v>
      </c>
      <c r="R43" s="203">
        <v>39</v>
      </c>
      <c r="S43" s="203">
        <v>39</v>
      </c>
      <c r="T43" s="202"/>
      <c r="U43" s="203"/>
      <c r="V43" s="203"/>
      <c r="W43" s="203"/>
      <c r="X43" s="202"/>
      <c r="Y43" s="203"/>
      <c r="Z43" s="203"/>
      <c r="AA43" s="211"/>
      <c r="AB43" s="149"/>
      <c r="AC43" s="56"/>
      <c r="AD43" s="56"/>
      <c r="AE43" s="57"/>
    </row>
    <row r="44" spans="1:31" s="14" customFormat="1" ht="20.100000000000001" customHeight="1" x14ac:dyDescent="0.15">
      <c r="A44" s="339"/>
      <c r="B44" s="347"/>
      <c r="C44" s="155" t="s">
        <v>12</v>
      </c>
      <c r="D44" s="155">
        <v>3</v>
      </c>
      <c r="E44" s="54">
        <f t="shared" si="2"/>
        <v>8</v>
      </c>
      <c r="F44" s="218">
        <f t="shared" si="1"/>
        <v>11</v>
      </c>
      <c r="G44" s="54">
        <f t="shared" si="3"/>
        <v>11</v>
      </c>
      <c r="H44" s="202">
        <v>44313</v>
      </c>
      <c r="I44" s="203">
        <v>0</v>
      </c>
      <c r="J44" s="203">
        <v>0</v>
      </c>
      <c r="K44" s="203">
        <v>0</v>
      </c>
      <c r="L44" s="202">
        <v>44369</v>
      </c>
      <c r="M44" s="203">
        <v>3</v>
      </c>
      <c r="N44" s="203">
        <v>3</v>
      </c>
      <c r="O44" s="203">
        <v>3</v>
      </c>
      <c r="P44" s="202">
        <v>44474</v>
      </c>
      <c r="Q44" s="203">
        <v>5</v>
      </c>
      <c r="R44" s="203">
        <v>8</v>
      </c>
      <c r="S44" s="203">
        <v>8</v>
      </c>
      <c r="T44" s="202"/>
      <c r="U44" s="203"/>
      <c r="V44" s="203"/>
      <c r="W44" s="203"/>
      <c r="X44" s="202"/>
      <c r="Y44" s="203"/>
      <c r="Z44" s="203"/>
      <c r="AA44" s="211"/>
      <c r="AB44" s="149"/>
      <c r="AC44" s="56"/>
      <c r="AD44" s="56"/>
      <c r="AE44" s="57"/>
    </row>
    <row r="45" spans="1:31" s="14" customFormat="1" ht="20.100000000000001" customHeight="1" x14ac:dyDescent="0.15">
      <c r="A45" s="339" t="s">
        <v>71</v>
      </c>
      <c r="B45" s="330" t="s">
        <v>30</v>
      </c>
      <c r="C45" s="155" t="s">
        <v>136</v>
      </c>
      <c r="D45" s="155">
        <v>4</v>
      </c>
      <c r="E45" s="54">
        <f t="shared" si="2"/>
        <v>24</v>
      </c>
      <c r="F45" s="218">
        <f t="shared" si="1"/>
        <v>78</v>
      </c>
      <c r="G45" s="54">
        <f t="shared" si="3"/>
        <v>78</v>
      </c>
      <c r="H45" s="202">
        <v>44264</v>
      </c>
      <c r="I45" s="203">
        <v>23</v>
      </c>
      <c r="J45" s="203">
        <v>23</v>
      </c>
      <c r="K45" s="203">
        <v>23</v>
      </c>
      <c r="L45" s="202">
        <v>44329</v>
      </c>
      <c r="M45" s="203">
        <v>0</v>
      </c>
      <c r="N45" s="203">
        <v>22</v>
      </c>
      <c r="O45" s="203">
        <v>22</v>
      </c>
      <c r="P45" s="202">
        <v>44425</v>
      </c>
      <c r="Q45" s="203">
        <v>1</v>
      </c>
      <c r="R45" s="203">
        <v>23</v>
      </c>
      <c r="S45" s="203">
        <v>23</v>
      </c>
      <c r="T45" s="202">
        <v>44497</v>
      </c>
      <c r="U45" s="203">
        <v>0</v>
      </c>
      <c r="V45" s="203">
        <v>10</v>
      </c>
      <c r="W45" s="203">
        <v>10</v>
      </c>
      <c r="X45" s="202"/>
      <c r="Y45" s="203"/>
      <c r="Z45" s="203"/>
      <c r="AA45" s="211"/>
      <c r="AB45" s="149"/>
      <c r="AC45" s="56"/>
      <c r="AD45" s="56"/>
      <c r="AE45" s="57"/>
    </row>
    <row r="46" spans="1:31" s="14" customFormat="1" ht="20.100000000000001" customHeight="1" x14ac:dyDescent="0.15">
      <c r="A46" s="339"/>
      <c r="B46" s="330"/>
      <c r="C46" s="155" t="s">
        <v>133</v>
      </c>
      <c r="D46" s="155">
        <v>4</v>
      </c>
      <c r="E46" s="54">
        <f t="shared" si="2"/>
        <v>27</v>
      </c>
      <c r="F46" s="218">
        <f t="shared" si="1"/>
        <v>81</v>
      </c>
      <c r="G46" s="54">
        <f t="shared" si="3"/>
        <v>81</v>
      </c>
      <c r="H46" s="202">
        <v>44264</v>
      </c>
      <c r="I46" s="203">
        <v>24</v>
      </c>
      <c r="J46" s="203">
        <v>24</v>
      </c>
      <c r="K46" s="203">
        <v>24</v>
      </c>
      <c r="L46" s="202">
        <v>44329</v>
      </c>
      <c r="M46" s="203">
        <v>0</v>
      </c>
      <c r="N46" s="203">
        <v>22</v>
      </c>
      <c r="O46" s="203">
        <v>22</v>
      </c>
      <c r="P46" s="202">
        <v>44425</v>
      </c>
      <c r="Q46" s="203">
        <v>3</v>
      </c>
      <c r="R46" s="203">
        <v>25</v>
      </c>
      <c r="S46" s="203">
        <v>25</v>
      </c>
      <c r="T46" s="202">
        <v>44497</v>
      </c>
      <c r="U46" s="203">
        <v>0</v>
      </c>
      <c r="V46" s="203">
        <v>10</v>
      </c>
      <c r="W46" s="203">
        <v>10</v>
      </c>
      <c r="X46" s="202"/>
      <c r="Y46" s="203"/>
      <c r="Z46" s="203"/>
      <c r="AA46" s="211"/>
      <c r="AB46" s="149"/>
      <c r="AC46" s="56"/>
      <c r="AD46" s="56"/>
      <c r="AE46" s="57"/>
    </row>
    <row r="47" spans="1:31" s="14" customFormat="1" ht="20.100000000000001" customHeight="1" x14ac:dyDescent="0.15">
      <c r="A47" s="339"/>
      <c r="B47" s="330"/>
      <c r="C47" s="155" t="s">
        <v>135</v>
      </c>
      <c r="D47" s="155">
        <v>4</v>
      </c>
      <c r="E47" s="54">
        <f t="shared" si="2"/>
        <v>11</v>
      </c>
      <c r="F47" s="218">
        <f t="shared" si="1"/>
        <v>37</v>
      </c>
      <c r="G47" s="54">
        <f t="shared" si="3"/>
        <v>37</v>
      </c>
      <c r="H47" s="202">
        <v>44264</v>
      </c>
      <c r="I47" s="203">
        <v>11</v>
      </c>
      <c r="J47" s="203">
        <v>11</v>
      </c>
      <c r="K47" s="203">
        <v>11</v>
      </c>
      <c r="L47" s="202">
        <v>44329</v>
      </c>
      <c r="M47" s="203">
        <v>0</v>
      </c>
      <c r="N47" s="203">
        <v>10</v>
      </c>
      <c r="O47" s="203">
        <v>10</v>
      </c>
      <c r="P47" s="202">
        <v>44425</v>
      </c>
      <c r="Q47" s="203">
        <v>0</v>
      </c>
      <c r="R47" s="203">
        <v>11</v>
      </c>
      <c r="S47" s="203">
        <v>11</v>
      </c>
      <c r="T47" s="202">
        <v>44497</v>
      </c>
      <c r="U47" s="203">
        <v>0</v>
      </c>
      <c r="V47" s="203">
        <v>5</v>
      </c>
      <c r="W47" s="203">
        <v>5</v>
      </c>
      <c r="X47" s="202"/>
      <c r="Y47" s="203"/>
      <c r="Z47" s="203"/>
      <c r="AA47" s="211"/>
      <c r="AB47" s="149"/>
      <c r="AC47" s="56"/>
      <c r="AD47" s="56"/>
      <c r="AE47" s="57"/>
    </row>
    <row r="48" spans="1:31" s="14" customFormat="1" ht="20.100000000000001" customHeight="1" x14ac:dyDescent="0.15">
      <c r="A48" s="339" t="s">
        <v>71</v>
      </c>
      <c r="B48" s="330" t="s">
        <v>30</v>
      </c>
      <c r="C48" s="155" t="s">
        <v>204</v>
      </c>
      <c r="D48" s="155">
        <v>3</v>
      </c>
      <c r="E48" s="54">
        <f t="shared" si="2"/>
        <v>3</v>
      </c>
      <c r="F48" s="218">
        <f t="shared" si="1"/>
        <v>14</v>
      </c>
      <c r="G48" s="54">
        <f t="shared" si="3"/>
        <v>14</v>
      </c>
      <c r="H48" s="202">
        <v>44265</v>
      </c>
      <c r="I48" s="203">
        <v>3</v>
      </c>
      <c r="J48" s="203">
        <v>3</v>
      </c>
      <c r="K48" s="203">
        <v>3</v>
      </c>
      <c r="L48" s="202">
        <v>44337</v>
      </c>
      <c r="M48" s="203">
        <v>0</v>
      </c>
      <c r="N48" s="203">
        <v>0</v>
      </c>
      <c r="O48" s="203">
        <v>0</v>
      </c>
      <c r="P48" s="202">
        <v>44426</v>
      </c>
      <c r="Q48" s="203">
        <v>0</v>
      </c>
      <c r="R48" s="203">
        <v>8</v>
      </c>
      <c r="S48" s="203">
        <v>8</v>
      </c>
      <c r="T48" s="202">
        <v>44497</v>
      </c>
      <c r="U48" s="203">
        <v>0</v>
      </c>
      <c r="V48" s="203">
        <v>3</v>
      </c>
      <c r="W48" s="203">
        <v>3</v>
      </c>
      <c r="X48" s="202"/>
      <c r="Y48" s="203"/>
      <c r="Z48" s="203"/>
      <c r="AA48" s="211"/>
      <c r="AB48" s="149"/>
      <c r="AC48" s="56"/>
      <c r="AD48" s="56"/>
      <c r="AE48" s="57"/>
    </row>
    <row r="49" spans="1:31" s="14" customFormat="1" ht="20.100000000000001" customHeight="1" x14ac:dyDescent="0.15">
      <c r="A49" s="339"/>
      <c r="B49" s="330"/>
      <c r="C49" s="155" t="s">
        <v>100</v>
      </c>
      <c r="D49" s="155">
        <v>5</v>
      </c>
      <c r="E49" s="54">
        <f>SUM(I49,M49,Q49,U49,Y49)</f>
        <v>47</v>
      </c>
      <c r="F49" s="218">
        <f t="shared" si="1"/>
        <v>113</v>
      </c>
      <c r="G49" s="54">
        <f t="shared" si="3"/>
        <v>113</v>
      </c>
      <c r="H49" s="202">
        <v>44252</v>
      </c>
      <c r="I49" s="203">
        <v>45</v>
      </c>
      <c r="J49" s="203">
        <v>45</v>
      </c>
      <c r="K49" s="203">
        <v>45</v>
      </c>
      <c r="L49" s="202">
        <v>44322</v>
      </c>
      <c r="M49" s="203">
        <v>0</v>
      </c>
      <c r="N49" s="203">
        <v>14</v>
      </c>
      <c r="O49" s="203">
        <v>14</v>
      </c>
      <c r="P49" s="202">
        <v>44421</v>
      </c>
      <c r="Q49" s="203">
        <v>0</v>
      </c>
      <c r="R49" s="203">
        <v>21</v>
      </c>
      <c r="S49" s="203">
        <v>21</v>
      </c>
      <c r="T49" s="202">
        <v>44488</v>
      </c>
      <c r="U49" s="203">
        <v>0</v>
      </c>
      <c r="V49" s="203">
        <v>18</v>
      </c>
      <c r="W49" s="203">
        <v>18</v>
      </c>
      <c r="X49" s="202">
        <v>44532</v>
      </c>
      <c r="Y49" s="203">
        <v>2</v>
      </c>
      <c r="Z49" s="203">
        <v>15</v>
      </c>
      <c r="AA49" s="211">
        <v>15</v>
      </c>
      <c r="AB49" s="149"/>
      <c r="AC49" s="56"/>
      <c r="AD49" s="56"/>
      <c r="AE49" s="57"/>
    </row>
    <row r="50" spans="1:31" s="14" customFormat="1" ht="20.100000000000001" customHeight="1" x14ac:dyDescent="0.15">
      <c r="A50" s="339"/>
      <c r="B50" s="330"/>
      <c r="C50" s="155" t="s">
        <v>80</v>
      </c>
      <c r="D50" s="155">
        <v>4</v>
      </c>
      <c r="E50" s="54">
        <f t="shared" si="2"/>
        <v>27</v>
      </c>
      <c r="F50" s="218">
        <f t="shared" si="1"/>
        <v>89</v>
      </c>
      <c r="G50" s="54">
        <f t="shared" si="3"/>
        <v>89</v>
      </c>
      <c r="H50" s="202">
        <v>44259</v>
      </c>
      <c r="I50" s="203">
        <v>26</v>
      </c>
      <c r="J50" s="203">
        <v>26</v>
      </c>
      <c r="K50" s="203">
        <v>26</v>
      </c>
      <c r="L50" s="202">
        <v>44327</v>
      </c>
      <c r="M50" s="203">
        <v>0</v>
      </c>
      <c r="N50" s="203">
        <v>27</v>
      </c>
      <c r="O50" s="203">
        <v>27</v>
      </c>
      <c r="P50" s="202">
        <v>44427</v>
      </c>
      <c r="Q50" s="203">
        <v>0</v>
      </c>
      <c r="R50" s="203">
        <v>27</v>
      </c>
      <c r="S50" s="203">
        <v>27</v>
      </c>
      <c r="T50" s="202">
        <v>44518</v>
      </c>
      <c r="U50" s="203">
        <v>1</v>
      </c>
      <c r="V50" s="203">
        <v>9</v>
      </c>
      <c r="W50" s="203">
        <v>9</v>
      </c>
      <c r="X50" s="202"/>
      <c r="Y50" s="203"/>
      <c r="Z50" s="203"/>
      <c r="AA50" s="211"/>
      <c r="AB50" s="149"/>
      <c r="AC50" s="56"/>
      <c r="AD50" s="56"/>
      <c r="AE50" s="57"/>
    </row>
    <row r="51" spans="1:31" s="14" customFormat="1" ht="20.100000000000001" customHeight="1" x14ac:dyDescent="0.15">
      <c r="A51" s="339"/>
      <c r="B51" s="330"/>
      <c r="C51" s="155" t="s">
        <v>68</v>
      </c>
      <c r="D51" s="155">
        <v>4</v>
      </c>
      <c r="E51" s="54">
        <f t="shared" si="2"/>
        <v>10</v>
      </c>
      <c r="F51" s="218">
        <f t="shared" si="1"/>
        <v>40</v>
      </c>
      <c r="G51" s="54">
        <f t="shared" si="3"/>
        <v>40</v>
      </c>
      <c r="H51" s="202">
        <v>44259</v>
      </c>
      <c r="I51" s="203">
        <v>10</v>
      </c>
      <c r="J51" s="203">
        <v>10</v>
      </c>
      <c r="K51" s="203">
        <v>10</v>
      </c>
      <c r="L51" s="202">
        <v>44327</v>
      </c>
      <c r="M51" s="203">
        <v>0</v>
      </c>
      <c r="N51" s="203">
        <v>10</v>
      </c>
      <c r="O51" s="203">
        <v>10</v>
      </c>
      <c r="P51" s="202">
        <v>44427</v>
      </c>
      <c r="Q51" s="203">
        <v>0</v>
      </c>
      <c r="R51" s="203">
        <v>10</v>
      </c>
      <c r="S51" s="203">
        <v>10</v>
      </c>
      <c r="T51" s="202">
        <v>44214</v>
      </c>
      <c r="U51" s="203">
        <v>0</v>
      </c>
      <c r="V51" s="203">
        <v>10</v>
      </c>
      <c r="W51" s="203">
        <v>10</v>
      </c>
      <c r="X51" s="202"/>
      <c r="Y51" s="203"/>
      <c r="Z51" s="203"/>
      <c r="AA51" s="211"/>
      <c r="AB51" s="149"/>
      <c r="AC51" s="56"/>
      <c r="AD51" s="56"/>
      <c r="AE51" s="57"/>
    </row>
    <row r="52" spans="1:31" s="14" customFormat="1" ht="20.100000000000001" customHeight="1" x14ac:dyDescent="0.15">
      <c r="A52" s="339"/>
      <c r="B52" s="330"/>
      <c r="C52" s="155" t="s">
        <v>74</v>
      </c>
      <c r="D52" s="155">
        <v>4</v>
      </c>
      <c r="E52" s="54">
        <f t="shared" si="2"/>
        <v>20</v>
      </c>
      <c r="F52" s="222">
        <f t="shared" si="1"/>
        <v>60</v>
      </c>
      <c r="G52" s="54">
        <f t="shared" si="3"/>
        <v>60</v>
      </c>
      <c r="H52" s="202">
        <v>44272</v>
      </c>
      <c r="I52" s="203">
        <v>20</v>
      </c>
      <c r="J52" s="203">
        <v>20</v>
      </c>
      <c r="K52" s="203">
        <v>20</v>
      </c>
      <c r="L52" s="202">
        <v>44351</v>
      </c>
      <c r="M52" s="203">
        <v>0</v>
      </c>
      <c r="N52" s="203">
        <v>7</v>
      </c>
      <c r="O52" s="203">
        <v>7</v>
      </c>
      <c r="P52" s="202">
        <v>44468</v>
      </c>
      <c r="Q52" s="203">
        <v>0</v>
      </c>
      <c r="R52" s="203">
        <v>20</v>
      </c>
      <c r="S52" s="203">
        <v>20</v>
      </c>
      <c r="T52" s="202">
        <v>44515</v>
      </c>
      <c r="U52" s="203">
        <v>0</v>
      </c>
      <c r="V52" s="203">
        <v>13</v>
      </c>
      <c r="W52" s="203">
        <v>13</v>
      </c>
      <c r="X52" s="202"/>
      <c r="Y52" s="203"/>
      <c r="Z52" s="203"/>
      <c r="AA52" s="211"/>
      <c r="AB52" s="149"/>
      <c r="AC52" s="56"/>
      <c r="AD52" s="56"/>
      <c r="AE52" s="57"/>
    </row>
    <row r="53" spans="1:31" s="14" customFormat="1" ht="20.100000000000001" customHeight="1" x14ac:dyDescent="0.15">
      <c r="A53" s="339"/>
      <c r="B53" s="330"/>
      <c r="C53" s="155" t="s">
        <v>69</v>
      </c>
      <c r="D53" s="155">
        <v>4</v>
      </c>
      <c r="E53" s="54">
        <f t="shared" si="2"/>
        <v>30</v>
      </c>
      <c r="F53" s="218">
        <f t="shared" si="1"/>
        <v>78</v>
      </c>
      <c r="G53" s="54">
        <f t="shared" si="3"/>
        <v>78</v>
      </c>
      <c r="H53" s="202">
        <v>44272</v>
      </c>
      <c r="I53" s="203">
        <v>30</v>
      </c>
      <c r="J53" s="203">
        <v>30</v>
      </c>
      <c r="K53" s="203">
        <v>30</v>
      </c>
      <c r="L53" s="202">
        <v>44351</v>
      </c>
      <c r="M53" s="203">
        <v>0</v>
      </c>
      <c r="N53" s="203">
        <v>8</v>
      </c>
      <c r="O53" s="203">
        <v>8</v>
      </c>
      <c r="P53" s="202">
        <v>44468</v>
      </c>
      <c r="Q53" s="203">
        <v>0</v>
      </c>
      <c r="R53" s="203">
        <v>30</v>
      </c>
      <c r="S53" s="203">
        <v>30</v>
      </c>
      <c r="T53" s="202">
        <v>44515</v>
      </c>
      <c r="U53" s="203">
        <v>0</v>
      </c>
      <c r="V53" s="203">
        <v>10</v>
      </c>
      <c r="W53" s="203">
        <v>10</v>
      </c>
      <c r="X53" s="202"/>
      <c r="Y53" s="203"/>
      <c r="Z53" s="203"/>
      <c r="AA53" s="211"/>
      <c r="AB53" s="149"/>
      <c r="AC53" s="56"/>
      <c r="AD53" s="56"/>
      <c r="AE53" s="57"/>
    </row>
    <row r="54" spans="1:31" s="14" customFormat="1" ht="20.100000000000001" customHeight="1" x14ac:dyDescent="0.15">
      <c r="A54" s="339"/>
      <c r="B54" s="330"/>
      <c r="C54" s="155" t="s">
        <v>117</v>
      </c>
      <c r="D54" s="155">
        <v>2</v>
      </c>
      <c r="E54" s="54">
        <f t="shared" si="2"/>
        <v>26</v>
      </c>
      <c r="F54" s="218">
        <f t="shared" si="1"/>
        <v>51</v>
      </c>
      <c r="G54" s="54">
        <f t="shared" si="3"/>
        <v>51</v>
      </c>
      <c r="H54" s="202">
        <v>44271</v>
      </c>
      <c r="I54" s="203">
        <v>25</v>
      </c>
      <c r="J54" s="203">
        <v>25</v>
      </c>
      <c r="K54" s="203">
        <v>25</v>
      </c>
      <c r="L54" s="202"/>
      <c r="M54" s="203"/>
      <c r="N54" s="203"/>
      <c r="O54" s="203"/>
      <c r="P54" s="202">
        <v>44467</v>
      </c>
      <c r="Q54" s="203">
        <v>1</v>
      </c>
      <c r="R54" s="203">
        <v>26</v>
      </c>
      <c r="S54" s="203">
        <v>26</v>
      </c>
      <c r="T54" s="202"/>
      <c r="U54" s="203"/>
      <c r="V54" s="203"/>
      <c r="W54" s="203"/>
      <c r="X54" s="202"/>
      <c r="Y54" s="203"/>
      <c r="Z54" s="203"/>
      <c r="AA54" s="211"/>
      <c r="AB54" s="149"/>
      <c r="AC54" s="56"/>
      <c r="AD54" s="56"/>
      <c r="AE54" s="57"/>
    </row>
    <row r="55" spans="1:31" s="14" customFormat="1" ht="20.100000000000001" customHeight="1" x14ac:dyDescent="0.15">
      <c r="A55" s="339"/>
      <c r="B55" s="330"/>
      <c r="C55" s="155" t="s">
        <v>62</v>
      </c>
      <c r="D55" s="155">
        <v>4</v>
      </c>
      <c r="E55" s="54">
        <f t="shared" si="2"/>
        <v>23</v>
      </c>
      <c r="F55" s="218">
        <f t="shared" si="1"/>
        <v>58</v>
      </c>
      <c r="G55" s="54">
        <f t="shared" si="3"/>
        <v>58</v>
      </c>
      <c r="H55" s="202">
        <v>44271</v>
      </c>
      <c r="I55" s="203">
        <v>20</v>
      </c>
      <c r="J55" s="203">
        <v>20</v>
      </c>
      <c r="K55" s="203">
        <v>20</v>
      </c>
      <c r="L55" s="202">
        <v>44350</v>
      </c>
      <c r="M55" s="203">
        <v>3</v>
      </c>
      <c r="N55" s="203">
        <v>5</v>
      </c>
      <c r="O55" s="203">
        <v>5</v>
      </c>
      <c r="P55" s="202">
        <v>44467</v>
      </c>
      <c r="Q55" s="203">
        <v>0</v>
      </c>
      <c r="R55" s="203">
        <v>23</v>
      </c>
      <c r="S55" s="203">
        <v>23</v>
      </c>
      <c r="T55" s="202">
        <v>44515</v>
      </c>
      <c r="U55" s="203">
        <v>0</v>
      </c>
      <c r="V55" s="203">
        <v>10</v>
      </c>
      <c r="W55" s="203">
        <v>10</v>
      </c>
      <c r="X55" s="202"/>
      <c r="Y55" s="203"/>
      <c r="Z55" s="203"/>
      <c r="AA55" s="211"/>
      <c r="AB55" s="149"/>
      <c r="AC55" s="56"/>
      <c r="AD55" s="56"/>
      <c r="AE55" s="57"/>
    </row>
    <row r="56" spans="1:31" s="14" customFormat="1" ht="20.100000000000001" customHeight="1" x14ac:dyDescent="0.15">
      <c r="A56" s="339"/>
      <c r="B56" s="330"/>
      <c r="C56" s="155" t="s">
        <v>25</v>
      </c>
      <c r="D56" s="155">
        <v>3</v>
      </c>
      <c r="E56" s="54">
        <f t="shared" si="2"/>
        <v>2</v>
      </c>
      <c r="F56" s="218">
        <f t="shared" si="1"/>
        <v>6</v>
      </c>
      <c r="G56" s="54">
        <f t="shared" si="3"/>
        <v>6</v>
      </c>
      <c r="H56" s="202">
        <v>44271</v>
      </c>
      <c r="I56" s="203">
        <v>2</v>
      </c>
      <c r="J56" s="203">
        <v>2</v>
      </c>
      <c r="K56" s="203">
        <v>2</v>
      </c>
      <c r="L56" s="202">
        <v>44350</v>
      </c>
      <c r="M56" s="203">
        <v>0</v>
      </c>
      <c r="N56" s="203">
        <v>2</v>
      </c>
      <c r="O56" s="203">
        <v>2</v>
      </c>
      <c r="P56" s="202">
        <v>44467</v>
      </c>
      <c r="Q56" s="203">
        <v>0</v>
      </c>
      <c r="R56" s="203">
        <v>2</v>
      </c>
      <c r="S56" s="203">
        <v>2</v>
      </c>
      <c r="T56" s="202"/>
      <c r="U56" s="203"/>
      <c r="V56" s="203"/>
      <c r="W56" s="203"/>
      <c r="X56" s="202"/>
      <c r="Y56" s="203"/>
      <c r="Z56" s="203"/>
      <c r="AA56" s="211"/>
      <c r="AB56" s="149"/>
      <c r="AC56" s="56"/>
      <c r="AD56" s="56"/>
      <c r="AE56" s="57"/>
    </row>
    <row r="57" spans="1:31" s="14" customFormat="1" ht="20.100000000000001" customHeight="1" x14ac:dyDescent="0.15">
      <c r="A57" s="339"/>
      <c r="B57" s="330"/>
      <c r="C57" s="155" t="s">
        <v>15</v>
      </c>
      <c r="D57" s="155">
        <v>4</v>
      </c>
      <c r="E57" s="54">
        <f t="shared" si="2"/>
        <v>5</v>
      </c>
      <c r="F57" s="218">
        <f t="shared" si="1"/>
        <v>20</v>
      </c>
      <c r="G57" s="54">
        <f t="shared" si="3"/>
        <v>20</v>
      </c>
      <c r="H57" s="202">
        <v>44271</v>
      </c>
      <c r="I57" s="203">
        <v>5</v>
      </c>
      <c r="J57" s="203">
        <v>5</v>
      </c>
      <c r="K57" s="203">
        <v>5</v>
      </c>
      <c r="L57" s="202">
        <v>44350</v>
      </c>
      <c r="M57" s="203">
        <v>0</v>
      </c>
      <c r="N57" s="203">
        <v>5</v>
      </c>
      <c r="O57" s="203">
        <v>5</v>
      </c>
      <c r="P57" s="202">
        <v>44467</v>
      </c>
      <c r="Q57" s="203">
        <v>0</v>
      </c>
      <c r="R57" s="203">
        <v>5</v>
      </c>
      <c r="S57" s="203">
        <v>5</v>
      </c>
      <c r="T57" s="202">
        <v>44515</v>
      </c>
      <c r="U57" s="203">
        <v>0</v>
      </c>
      <c r="V57" s="203">
        <v>5</v>
      </c>
      <c r="W57" s="203">
        <v>5</v>
      </c>
      <c r="X57" s="202"/>
      <c r="Y57" s="203"/>
      <c r="Z57" s="203"/>
      <c r="AA57" s="211"/>
      <c r="AB57" s="149"/>
      <c r="AC57" s="56"/>
      <c r="AD57" s="56"/>
      <c r="AE57" s="57"/>
    </row>
    <row r="58" spans="1:31" s="14" customFormat="1" ht="20.100000000000001" customHeight="1" x14ac:dyDescent="0.15">
      <c r="A58" s="339"/>
      <c r="B58" s="155" t="s">
        <v>42</v>
      </c>
      <c r="C58" s="155" t="s">
        <v>133</v>
      </c>
      <c r="D58" s="155">
        <v>4</v>
      </c>
      <c r="E58" s="54">
        <f t="shared" si="2"/>
        <v>2</v>
      </c>
      <c r="F58" s="218">
        <f t="shared" si="1"/>
        <v>6</v>
      </c>
      <c r="G58" s="54">
        <f t="shared" si="3"/>
        <v>6</v>
      </c>
      <c r="H58" s="202">
        <v>44278</v>
      </c>
      <c r="I58" s="203">
        <v>2</v>
      </c>
      <c r="J58" s="203">
        <v>2</v>
      </c>
      <c r="K58" s="203">
        <v>2</v>
      </c>
      <c r="L58" s="202">
        <v>44349</v>
      </c>
      <c r="M58" s="203">
        <v>0</v>
      </c>
      <c r="N58" s="203">
        <v>2</v>
      </c>
      <c r="O58" s="203">
        <v>2</v>
      </c>
      <c r="P58" s="202">
        <v>44487</v>
      </c>
      <c r="Q58" s="203">
        <v>0</v>
      </c>
      <c r="R58" s="203">
        <v>1</v>
      </c>
      <c r="S58" s="203">
        <v>1</v>
      </c>
      <c r="T58" s="202">
        <v>44538</v>
      </c>
      <c r="U58" s="203">
        <v>0</v>
      </c>
      <c r="V58" s="203">
        <v>1</v>
      </c>
      <c r="W58" s="203">
        <v>1</v>
      </c>
      <c r="X58" s="202"/>
      <c r="Y58" s="203"/>
      <c r="Z58" s="203"/>
      <c r="AA58" s="211"/>
      <c r="AB58" s="149"/>
      <c r="AC58" s="56"/>
      <c r="AD58" s="56"/>
      <c r="AE58" s="57"/>
    </row>
    <row r="59" spans="1:31" s="14" customFormat="1" ht="20.100000000000001" customHeight="1" x14ac:dyDescent="0.15">
      <c r="A59" s="339"/>
      <c r="B59" s="155" t="s">
        <v>51</v>
      </c>
      <c r="C59" s="155" t="s">
        <v>82</v>
      </c>
      <c r="D59" s="155">
        <v>3</v>
      </c>
      <c r="E59" s="54">
        <f t="shared" si="2"/>
        <v>12</v>
      </c>
      <c r="F59" s="218">
        <f t="shared" si="1"/>
        <v>16</v>
      </c>
      <c r="G59" s="54">
        <f t="shared" si="3"/>
        <v>16</v>
      </c>
      <c r="H59" s="202">
        <v>44237</v>
      </c>
      <c r="I59" s="203">
        <v>12</v>
      </c>
      <c r="J59" s="203">
        <v>12</v>
      </c>
      <c r="K59" s="203">
        <v>12</v>
      </c>
      <c r="L59" s="202">
        <v>44301</v>
      </c>
      <c r="M59" s="203">
        <v>0</v>
      </c>
      <c r="N59" s="203">
        <v>4</v>
      </c>
      <c r="O59" s="203">
        <v>4</v>
      </c>
      <c r="P59" s="202">
        <v>44383</v>
      </c>
      <c r="Q59" s="203">
        <v>0</v>
      </c>
      <c r="R59" s="203">
        <v>0</v>
      </c>
      <c r="S59" s="203">
        <v>0</v>
      </c>
      <c r="T59" s="202"/>
      <c r="U59" s="203"/>
      <c r="V59" s="203"/>
      <c r="W59" s="203"/>
      <c r="X59" s="213"/>
      <c r="Y59" s="213"/>
      <c r="Z59" s="213"/>
      <c r="AA59" s="211"/>
      <c r="AB59" s="149"/>
      <c r="AC59" s="56"/>
      <c r="AD59" s="56"/>
      <c r="AE59" s="57"/>
    </row>
    <row r="60" spans="1:31" s="14" customFormat="1" ht="20.100000000000001" customHeight="1" x14ac:dyDescent="0.15">
      <c r="A60" s="339"/>
      <c r="B60" s="155" t="s">
        <v>125</v>
      </c>
      <c r="C60" s="155" t="s">
        <v>22</v>
      </c>
      <c r="D60" s="155">
        <v>3</v>
      </c>
      <c r="E60" s="54">
        <f t="shared" si="2"/>
        <v>18</v>
      </c>
      <c r="F60" s="219">
        <f t="shared" si="1"/>
        <v>18</v>
      </c>
      <c r="G60" s="54">
        <f t="shared" si="3"/>
        <v>18</v>
      </c>
      <c r="H60" s="202">
        <v>44235</v>
      </c>
      <c r="I60" s="203">
        <v>18</v>
      </c>
      <c r="J60" s="203">
        <v>18</v>
      </c>
      <c r="K60" s="203">
        <v>18</v>
      </c>
      <c r="L60" s="202">
        <v>44302</v>
      </c>
      <c r="M60" s="203">
        <v>0</v>
      </c>
      <c r="N60" s="203">
        <v>0</v>
      </c>
      <c r="O60" s="203">
        <v>0</v>
      </c>
      <c r="P60" s="202">
        <v>44383</v>
      </c>
      <c r="Q60" s="203">
        <v>0</v>
      </c>
      <c r="R60" s="203">
        <v>0</v>
      </c>
      <c r="S60" s="203">
        <v>0</v>
      </c>
      <c r="T60" s="202"/>
      <c r="U60" s="203"/>
      <c r="V60" s="203"/>
      <c r="W60" s="203"/>
      <c r="X60" s="213"/>
      <c r="Y60" s="213"/>
      <c r="Z60" s="213"/>
      <c r="AA60" s="211"/>
      <c r="AB60" s="149"/>
      <c r="AC60" s="56"/>
      <c r="AD60" s="56"/>
      <c r="AE60" s="57"/>
    </row>
    <row r="61" spans="1:31" s="14" customFormat="1" ht="20.100000000000001" customHeight="1" x14ac:dyDescent="0.15">
      <c r="A61" s="339"/>
      <c r="B61" s="331" t="s">
        <v>30</v>
      </c>
      <c r="C61" s="155" t="s">
        <v>60</v>
      </c>
      <c r="D61" s="155">
        <v>3</v>
      </c>
      <c r="E61" s="54">
        <f t="shared" si="2"/>
        <v>2</v>
      </c>
      <c r="F61" s="219">
        <f t="shared" si="1"/>
        <v>10</v>
      </c>
      <c r="G61" s="54">
        <f t="shared" si="3"/>
        <v>10</v>
      </c>
      <c r="H61" s="202">
        <v>44287</v>
      </c>
      <c r="I61" s="203">
        <v>2</v>
      </c>
      <c r="J61" s="203">
        <v>2</v>
      </c>
      <c r="K61" s="203">
        <v>2</v>
      </c>
      <c r="L61" s="202">
        <v>44362</v>
      </c>
      <c r="M61" s="203">
        <v>0</v>
      </c>
      <c r="N61" s="203">
        <v>0</v>
      </c>
      <c r="O61" s="203">
        <v>0</v>
      </c>
      <c r="P61" s="202">
        <v>44482</v>
      </c>
      <c r="Q61" s="203">
        <v>0</v>
      </c>
      <c r="R61" s="203">
        <v>4</v>
      </c>
      <c r="S61" s="203">
        <v>4</v>
      </c>
      <c r="T61" s="202">
        <v>44546</v>
      </c>
      <c r="U61" s="203">
        <v>0</v>
      </c>
      <c r="V61" s="203">
        <v>4</v>
      </c>
      <c r="W61" s="203">
        <v>4</v>
      </c>
      <c r="X61" s="213"/>
      <c r="Y61" s="213"/>
      <c r="Z61" s="213"/>
      <c r="AA61" s="211"/>
      <c r="AB61" s="149"/>
      <c r="AC61" s="56"/>
      <c r="AD61" s="56"/>
      <c r="AE61" s="57"/>
    </row>
    <row r="62" spans="1:31" s="14" customFormat="1" ht="20.100000000000001" customHeight="1" x14ac:dyDescent="0.15">
      <c r="A62" s="339"/>
      <c r="B62" s="348"/>
      <c r="C62" s="155" t="s">
        <v>53</v>
      </c>
      <c r="D62" s="155">
        <v>3</v>
      </c>
      <c r="E62" s="54">
        <f t="shared" si="2"/>
        <v>2</v>
      </c>
      <c r="F62" s="219">
        <f t="shared" si="1"/>
        <v>6</v>
      </c>
      <c r="G62" s="54">
        <f t="shared" si="3"/>
        <v>6</v>
      </c>
      <c r="H62" s="202">
        <v>44287</v>
      </c>
      <c r="I62" s="203">
        <v>2</v>
      </c>
      <c r="J62" s="203">
        <v>2</v>
      </c>
      <c r="K62" s="203">
        <v>2</v>
      </c>
      <c r="L62" s="202">
        <v>44362</v>
      </c>
      <c r="M62" s="203"/>
      <c r="N62" s="203"/>
      <c r="O62" s="203"/>
      <c r="P62" s="202">
        <v>44482</v>
      </c>
      <c r="Q62" s="203">
        <v>0</v>
      </c>
      <c r="R62" s="203">
        <v>2</v>
      </c>
      <c r="S62" s="203">
        <v>2</v>
      </c>
      <c r="T62" s="202">
        <v>44546</v>
      </c>
      <c r="U62" s="203">
        <v>0</v>
      </c>
      <c r="V62" s="203">
        <v>2</v>
      </c>
      <c r="W62" s="203">
        <v>2</v>
      </c>
      <c r="X62" s="213"/>
      <c r="Y62" s="213"/>
      <c r="Z62" s="213"/>
      <c r="AA62" s="211"/>
      <c r="AB62" s="149"/>
      <c r="AC62" s="56"/>
      <c r="AD62" s="56"/>
      <c r="AE62" s="57"/>
    </row>
    <row r="63" spans="1:31" s="14" customFormat="1" ht="20.100000000000001" customHeight="1" x14ac:dyDescent="0.15">
      <c r="A63" s="339"/>
      <c r="B63" s="348"/>
      <c r="C63" s="155" t="s">
        <v>27</v>
      </c>
      <c r="D63" s="155">
        <v>4</v>
      </c>
      <c r="E63" s="54">
        <f t="shared" si="2"/>
        <v>2</v>
      </c>
      <c r="F63" s="219">
        <f t="shared" si="1"/>
        <v>8</v>
      </c>
      <c r="G63" s="54">
        <f t="shared" si="3"/>
        <v>8</v>
      </c>
      <c r="H63" s="202">
        <v>44279</v>
      </c>
      <c r="I63" s="203">
        <v>2</v>
      </c>
      <c r="J63" s="203">
        <v>2</v>
      </c>
      <c r="K63" s="203">
        <v>2</v>
      </c>
      <c r="L63" s="202">
        <v>44343</v>
      </c>
      <c r="M63" s="203">
        <v>0</v>
      </c>
      <c r="N63" s="203">
        <v>2</v>
      </c>
      <c r="O63" s="203">
        <v>2</v>
      </c>
      <c r="P63" s="202">
        <v>44411</v>
      </c>
      <c r="Q63" s="203">
        <v>0</v>
      </c>
      <c r="R63" s="203">
        <v>2</v>
      </c>
      <c r="S63" s="203">
        <v>2</v>
      </c>
      <c r="T63" s="202">
        <v>44490</v>
      </c>
      <c r="U63" s="203">
        <v>0</v>
      </c>
      <c r="V63" s="203">
        <v>2</v>
      </c>
      <c r="W63" s="203">
        <v>2</v>
      </c>
      <c r="X63" s="213"/>
      <c r="Y63" s="213"/>
      <c r="Z63" s="213"/>
      <c r="AA63" s="211"/>
      <c r="AB63" s="149"/>
      <c r="AC63" s="56"/>
      <c r="AD63" s="56"/>
      <c r="AE63" s="57"/>
    </row>
    <row r="64" spans="1:31" s="14" customFormat="1" ht="20.100000000000001" customHeight="1" x14ac:dyDescent="0.15">
      <c r="A64" s="339"/>
      <c r="B64" s="348"/>
      <c r="C64" s="155" t="s">
        <v>137</v>
      </c>
      <c r="D64" s="155">
        <v>4</v>
      </c>
      <c r="E64" s="54">
        <f t="shared" si="2"/>
        <v>4</v>
      </c>
      <c r="F64" s="219">
        <f t="shared" si="1"/>
        <v>16</v>
      </c>
      <c r="G64" s="54">
        <f t="shared" si="3"/>
        <v>16</v>
      </c>
      <c r="H64" s="202">
        <v>44279</v>
      </c>
      <c r="I64" s="203">
        <v>4</v>
      </c>
      <c r="J64" s="203">
        <v>4</v>
      </c>
      <c r="K64" s="203">
        <v>4</v>
      </c>
      <c r="L64" s="202">
        <v>44343</v>
      </c>
      <c r="M64" s="203">
        <v>0</v>
      </c>
      <c r="N64" s="203">
        <v>4</v>
      </c>
      <c r="O64" s="203">
        <v>4</v>
      </c>
      <c r="P64" s="202">
        <v>44411</v>
      </c>
      <c r="Q64" s="203">
        <v>0</v>
      </c>
      <c r="R64" s="203">
        <v>4</v>
      </c>
      <c r="S64" s="203">
        <v>4</v>
      </c>
      <c r="T64" s="202">
        <v>44490</v>
      </c>
      <c r="U64" s="203">
        <v>0</v>
      </c>
      <c r="V64" s="203">
        <v>4</v>
      </c>
      <c r="W64" s="203">
        <v>4</v>
      </c>
      <c r="X64" s="213"/>
      <c r="Y64" s="213"/>
      <c r="Z64" s="213"/>
      <c r="AA64" s="211"/>
      <c r="AB64" s="149"/>
      <c r="AC64" s="56"/>
      <c r="AD64" s="56"/>
      <c r="AE64" s="57"/>
    </row>
    <row r="65" spans="1:31" s="14" customFormat="1" ht="20.100000000000001" customHeight="1" x14ac:dyDescent="0.15">
      <c r="A65" s="339"/>
      <c r="B65" s="348"/>
      <c r="C65" s="155" t="s">
        <v>194</v>
      </c>
      <c r="D65" s="155">
        <v>4</v>
      </c>
      <c r="E65" s="54">
        <f t="shared" si="2"/>
        <v>12</v>
      </c>
      <c r="F65" s="219">
        <f t="shared" si="1"/>
        <v>40</v>
      </c>
      <c r="G65" s="54">
        <f t="shared" si="3"/>
        <v>40</v>
      </c>
      <c r="H65" s="202">
        <v>44287</v>
      </c>
      <c r="I65" s="203">
        <v>11</v>
      </c>
      <c r="J65" s="203">
        <v>11</v>
      </c>
      <c r="K65" s="203">
        <v>11</v>
      </c>
      <c r="L65" s="202">
        <v>44372</v>
      </c>
      <c r="M65" s="203">
        <v>1</v>
      </c>
      <c r="N65" s="203">
        <v>12</v>
      </c>
      <c r="O65" s="203">
        <v>12</v>
      </c>
      <c r="P65" s="202">
        <v>44482</v>
      </c>
      <c r="Q65" s="203">
        <v>0</v>
      </c>
      <c r="R65" s="203">
        <v>13</v>
      </c>
      <c r="S65" s="203">
        <v>13</v>
      </c>
      <c r="T65" s="202">
        <v>44536</v>
      </c>
      <c r="U65" s="203">
        <v>0</v>
      </c>
      <c r="V65" s="203">
        <v>4</v>
      </c>
      <c r="W65" s="203">
        <v>4</v>
      </c>
      <c r="X65" s="213"/>
      <c r="Y65" s="213"/>
      <c r="Z65" s="213"/>
      <c r="AA65" s="211"/>
      <c r="AB65" s="149"/>
      <c r="AC65" s="56"/>
      <c r="AD65" s="56"/>
      <c r="AE65" s="57"/>
    </row>
    <row r="66" spans="1:31" s="14" customFormat="1" ht="20.100000000000001" customHeight="1" x14ac:dyDescent="0.15">
      <c r="A66" s="339"/>
      <c r="B66" s="348"/>
      <c r="C66" s="155" t="s">
        <v>197</v>
      </c>
      <c r="D66" s="155">
        <v>4</v>
      </c>
      <c r="E66" s="54">
        <f t="shared" si="2"/>
        <v>7</v>
      </c>
      <c r="F66" s="219">
        <f t="shared" si="1"/>
        <v>39</v>
      </c>
      <c r="G66" s="54">
        <f t="shared" si="3"/>
        <v>39</v>
      </c>
      <c r="H66" s="202">
        <v>44286</v>
      </c>
      <c r="I66" s="203">
        <v>6</v>
      </c>
      <c r="J66" s="203">
        <v>6</v>
      </c>
      <c r="K66" s="203">
        <v>6</v>
      </c>
      <c r="L66" s="202">
        <v>44363</v>
      </c>
      <c r="M66" s="203">
        <v>0</v>
      </c>
      <c r="N66" s="203">
        <v>10</v>
      </c>
      <c r="O66" s="203">
        <v>10</v>
      </c>
      <c r="P66" s="202">
        <v>44484</v>
      </c>
      <c r="Q66" s="203">
        <v>1</v>
      </c>
      <c r="R66" s="203">
        <v>10</v>
      </c>
      <c r="S66" s="203">
        <v>10</v>
      </c>
      <c r="T66" s="202">
        <v>44525</v>
      </c>
      <c r="U66" s="203">
        <v>0</v>
      </c>
      <c r="V66" s="203">
        <v>13</v>
      </c>
      <c r="W66" s="203">
        <v>13</v>
      </c>
      <c r="X66" s="213"/>
      <c r="Y66" s="213"/>
      <c r="Z66" s="213"/>
      <c r="AA66" s="211"/>
      <c r="AB66" s="149"/>
      <c r="AC66" s="56"/>
      <c r="AD66" s="56"/>
      <c r="AE66" s="57"/>
    </row>
    <row r="67" spans="1:31" s="14" customFormat="1" ht="20.100000000000001" customHeight="1" x14ac:dyDescent="0.15">
      <c r="A67" s="339"/>
      <c r="B67" s="348"/>
      <c r="C67" s="155" t="s">
        <v>212</v>
      </c>
      <c r="D67" s="155">
        <v>2</v>
      </c>
      <c r="E67" s="54">
        <f t="shared" si="2"/>
        <v>6</v>
      </c>
      <c r="F67" s="219">
        <f t="shared" si="1"/>
        <v>10</v>
      </c>
      <c r="G67" s="54">
        <f t="shared" si="3"/>
        <v>10</v>
      </c>
      <c r="H67" s="202">
        <v>44286</v>
      </c>
      <c r="I67" s="203">
        <v>6</v>
      </c>
      <c r="J67" s="203">
        <v>6</v>
      </c>
      <c r="K67" s="203">
        <v>6</v>
      </c>
      <c r="L67" s="202">
        <v>44363</v>
      </c>
      <c r="M67" s="203"/>
      <c r="N67" s="203"/>
      <c r="O67" s="203"/>
      <c r="P67" s="202">
        <v>44484</v>
      </c>
      <c r="Q67" s="203">
        <v>0</v>
      </c>
      <c r="R67" s="203">
        <v>0</v>
      </c>
      <c r="S67" s="203">
        <v>0</v>
      </c>
      <c r="T67" s="202">
        <v>44525</v>
      </c>
      <c r="U67" s="203">
        <v>0</v>
      </c>
      <c r="V67" s="203">
        <v>4</v>
      </c>
      <c r="W67" s="203">
        <v>4</v>
      </c>
      <c r="X67" s="213"/>
      <c r="Y67" s="213"/>
      <c r="Z67" s="213"/>
      <c r="AA67" s="211"/>
      <c r="AB67" s="149"/>
      <c r="AC67" s="56"/>
      <c r="AD67" s="56"/>
      <c r="AE67" s="57"/>
    </row>
    <row r="68" spans="1:31" s="14" customFormat="1" ht="20.100000000000001" customHeight="1" x14ac:dyDescent="0.15">
      <c r="A68" s="339"/>
      <c r="B68" s="348"/>
      <c r="C68" s="155" t="s">
        <v>9</v>
      </c>
      <c r="D68" s="155">
        <v>3</v>
      </c>
      <c r="E68" s="54">
        <f t="shared" si="2"/>
        <v>7</v>
      </c>
      <c r="F68" s="219">
        <f t="shared" si="1"/>
        <v>12</v>
      </c>
      <c r="G68" s="54">
        <f t="shared" si="3"/>
        <v>12</v>
      </c>
      <c r="H68" s="202">
        <v>44285</v>
      </c>
      <c r="I68" s="203">
        <v>0</v>
      </c>
      <c r="J68" s="203">
        <v>0</v>
      </c>
      <c r="K68" s="203">
        <v>0</v>
      </c>
      <c r="L68" s="202">
        <v>44361</v>
      </c>
      <c r="M68" s="203">
        <v>7</v>
      </c>
      <c r="N68" s="203">
        <v>7</v>
      </c>
      <c r="O68" s="203">
        <v>7</v>
      </c>
      <c r="P68" s="202">
        <v>44483</v>
      </c>
      <c r="Q68" s="203">
        <v>0</v>
      </c>
      <c r="R68" s="203">
        <v>1</v>
      </c>
      <c r="S68" s="203">
        <v>1</v>
      </c>
      <c r="T68" s="202">
        <v>44526</v>
      </c>
      <c r="U68" s="203">
        <v>0</v>
      </c>
      <c r="V68" s="203">
        <v>4</v>
      </c>
      <c r="W68" s="203">
        <v>4</v>
      </c>
      <c r="X68" s="213"/>
      <c r="Y68" s="213"/>
      <c r="Z68" s="213"/>
      <c r="AA68" s="211"/>
      <c r="AB68" s="149"/>
      <c r="AC68" s="56"/>
      <c r="AD68" s="56"/>
      <c r="AE68" s="57"/>
    </row>
    <row r="69" spans="1:31" s="14" customFormat="1" ht="20.100000000000001" customHeight="1" x14ac:dyDescent="0.15">
      <c r="A69" s="339"/>
      <c r="B69" s="349"/>
      <c r="C69" s="155" t="s">
        <v>105</v>
      </c>
      <c r="D69" s="155">
        <v>3</v>
      </c>
      <c r="E69" s="54">
        <f t="shared" si="2"/>
        <v>21</v>
      </c>
      <c r="F69" s="219">
        <f t="shared" si="1"/>
        <v>33</v>
      </c>
      <c r="G69" s="54">
        <f t="shared" si="3"/>
        <v>33</v>
      </c>
      <c r="H69" s="202">
        <v>44285</v>
      </c>
      <c r="I69" s="203">
        <v>21</v>
      </c>
      <c r="J69" s="203">
        <v>21</v>
      </c>
      <c r="K69" s="203">
        <v>21</v>
      </c>
      <c r="L69" s="202">
        <v>44361</v>
      </c>
      <c r="M69" s="203">
        <v>0</v>
      </c>
      <c r="N69" s="203">
        <v>2</v>
      </c>
      <c r="O69" s="203">
        <v>2</v>
      </c>
      <c r="P69" s="202">
        <v>44483</v>
      </c>
      <c r="Q69" s="203">
        <v>0</v>
      </c>
      <c r="R69" s="203">
        <v>0</v>
      </c>
      <c r="S69" s="203">
        <v>0</v>
      </c>
      <c r="T69" s="202">
        <v>44532</v>
      </c>
      <c r="U69" s="203">
        <v>0</v>
      </c>
      <c r="V69" s="203">
        <v>10</v>
      </c>
      <c r="W69" s="203">
        <v>10</v>
      </c>
      <c r="X69" s="213"/>
      <c r="Y69" s="213"/>
      <c r="Z69" s="213"/>
      <c r="AA69" s="211"/>
      <c r="AB69" s="149"/>
      <c r="AC69" s="56"/>
      <c r="AD69" s="56"/>
      <c r="AE69" s="57"/>
    </row>
    <row r="70" spans="1:31" s="14" customFormat="1" ht="20.100000000000001" customHeight="1" x14ac:dyDescent="0.15">
      <c r="A70" s="343" t="s">
        <v>71</v>
      </c>
      <c r="B70" s="331" t="s">
        <v>30</v>
      </c>
      <c r="C70" s="155" t="s">
        <v>58</v>
      </c>
      <c r="D70" s="155">
        <v>1</v>
      </c>
      <c r="E70" s="54">
        <f t="shared" si="2"/>
        <v>0</v>
      </c>
      <c r="F70" s="219">
        <f t="shared" si="1"/>
        <v>5</v>
      </c>
      <c r="G70" s="54">
        <f t="shared" si="3"/>
        <v>5</v>
      </c>
      <c r="H70" s="202">
        <v>44285</v>
      </c>
      <c r="I70" s="203">
        <v>0</v>
      </c>
      <c r="J70" s="203">
        <v>0</v>
      </c>
      <c r="K70" s="203">
        <v>0</v>
      </c>
      <c r="L70" s="202">
        <v>44361</v>
      </c>
      <c r="M70" s="203"/>
      <c r="N70" s="203"/>
      <c r="O70" s="203"/>
      <c r="P70" s="202">
        <v>44483</v>
      </c>
      <c r="Q70" s="203">
        <v>0</v>
      </c>
      <c r="R70" s="203">
        <v>0</v>
      </c>
      <c r="S70" s="203">
        <v>0</v>
      </c>
      <c r="T70" s="202">
        <v>44526</v>
      </c>
      <c r="U70" s="203">
        <v>0</v>
      </c>
      <c r="V70" s="203">
        <v>5</v>
      </c>
      <c r="W70" s="203">
        <v>5</v>
      </c>
      <c r="X70" s="213"/>
      <c r="Y70" s="213"/>
      <c r="Z70" s="213"/>
      <c r="AA70" s="211"/>
      <c r="AB70" s="149"/>
      <c r="AC70" s="56"/>
      <c r="AD70" s="56"/>
      <c r="AE70" s="57"/>
    </row>
    <row r="71" spans="1:31" s="14" customFormat="1" ht="20.100000000000001" customHeight="1" x14ac:dyDescent="0.15">
      <c r="A71" s="350"/>
      <c r="B71" s="348"/>
      <c r="C71" s="155" t="s">
        <v>115</v>
      </c>
      <c r="D71" s="155">
        <v>4</v>
      </c>
      <c r="E71" s="54">
        <f t="shared" si="2"/>
        <v>37</v>
      </c>
      <c r="F71" s="219">
        <f t="shared" si="1"/>
        <v>49</v>
      </c>
      <c r="G71" s="54">
        <f t="shared" si="3"/>
        <v>49</v>
      </c>
      <c r="H71" s="202">
        <v>44252</v>
      </c>
      <c r="I71" s="203">
        <v>36</v>
      </c>
      <c r="J71" s="203">
        <v>36</v>
      </c>
      <c r="K71" s="203">
        <v>36</v>
      </c>
      <c r="L71" s="202">
        <v>44322</v>
      </c>
      <c r="M71" s="203">
        <v>0</v>
      </c>
      <c r="N71" s="203">
        <v>6</v>
      </c>
      <c r="O71" s="203">
        <v>6</v>
      </c>
      <c r="P71" s="202">
        <v>44398</v>
      </c>
      <c r="Q71" s="203">
        <v>0</v>
      </c>
      <c r="R71" s="203">
        <v>2</v>
      </c>
      <c r="S71" s="203">
        <v>2</v>
      </c>
      <c r="T71" s="202">
        <v>44490</v>
      </c>
      <c r="U71" s="203">
        <v>1</v>
      </c>
      <c r="V71" s="203">
        <v>5</v>
      </c>
      <c r="W71" s="203">
        <v>5</v>
      </c>
      <c r="X71" s="213"/>
      <c r="Y71" s="213"/>
      <c r="Z71" s="213"/>
      <c r="AA71" s="211"/>
      <c r="AB71" s="149"/>
      <c r="AC71" s="56"/>
      <c r="AD71" s="56"/>
      <c r="AE71" s="57"/>
    </row>
    <row r="72" spans="1:31" s="14" customFormat="1" ht="20.100000000000001" customHeight="1" x14ac:dyDescent="0.15">
      <c r="A72" s="350"/>
      <c r="B72" s="348"/>
      <c r="C72" s="155" t="s">
        <v>19</v>
      </c>
      <c r="D72" s="155">
        <v>3</v>
      </c>
      <c r="E72" s="54">
        <f t="shared" ref="E72:E80" si="4">SUM(I72,M72,Q72,U72,AC72)</f>
        <v>3</v>
      </c>
      <c r="F72" s="219">
        <f t="shared" si="1"/>
        <v>9</v>
      </c>
      <c r="G72" s="54">
        <f t="shared" si="3"/>
        <v>9</v>
      </c>
      <c r="H72" s="202">
        <v>44236</v>
      </c>
      <c r="I72" s="203">
        <v>3</v>
      </c>
      <c r="J72" s="203">
        <v>3</v>
      </c>
      <c r="K72" s="203">
        <v>3</v>
      </c>
      <c r="L72" s="202">
        <v>44295</v>
      </c>
      <c r="M72" s="203">
        <v>0</v>
      </c>
      <c r="N72" s="203">
        <v>3</v>
      </c>
      <c r="O72" s="203">
        <v>3</v>
      </c>
      <c r="P72" s="202">
        <v>44428</v>
      </c>
      <c r="Q72" s="203">
        <v>0</v>
      </c>
      <c r="R72" s="203">
        <v>3</v>
      </c>
      <c r="S72" s="203">
        <v>3</v>
      </c>
      <c r="T72" s="202">
        <v>44497</v>
      </c>
      <c r="U72" s="203">
        <v>0</v>
      </c>
      <c r="V72" s="203">
        <v>0</v>
      </c>
      <c r="W72" s="203">
        <v>0</v>
      </c>
      <c r="X72" s="213"/>
      <c r="Y72" s="213"/>
      <c r="Z72" s="213"/>
      <c r="AA72" s="211"/>
      <c r="AB72" s="149"/>
      <c r="AC72" s="56"/>
      <c r="AD72" s="56"/>
      <c r="AE72" s="57"/>
    </row>
    <row r="73" spans="1:31" s="14" customFormat="1" ht="20.100000000000001" customHeight="1" x14ac:dyDescent="0.15">
      <c r="A73" s="344"/>
      <c r="B73" s="349"/>
      <c r="C73" s="155" t="s">
        <v>31</v>
      </c>
      <c r="D73" s="155">
        <v>4</v>
      </c>
      <c r="E73" s="54">
        <f t="shared" si="4"/>
        <v>10</v>
      </c>
      <c r="F73" s="218">
        <f t="shared" si="1"/>
        <v>33</v>
      </c>
      <c r="G73" s="54">
        <f t="shared" si="3"/>
        <v>33</v>
      </c>
      <c r="H73" s="202">
        <v>44236</v>
      </c>
      <c r="I73" s="203">
        <v>10</v>
      </c>
      <c r="J73" s="203">
        <v>10</v>
      </c>
      <c r="K73" s="203">
        <v>10</v>
      </c>
      <c r="L73" s="202">
        <v>44295</v>
      </c>
      <c r="M73" s="203">
        <v>0</v>
      </c>
      <c r="N73" s="203">
        <v>5</v>
      </c>
      <c r="O73" s="203">
        <v>5</v>
      </c>
      <c r="P73" s="202">
        <v>44428</v>
      </c>
      <c r="Q73" s="203">
        <v>0</v>
      </c>
      <c r="R73" s="203">
        <v>12</v>
      </c>
      <c r="S73" s="203">
        <v>12</v>
      </c>
      <c r="T73" s="202">
        <v>44497</v>
      </c>
      <c r="U73" s="203">
        <v>0</v>
      </c>
      <c r="V73" s="203">
        <v>6</v>
      </c>
      <c r="W73" s="203">
        <v>6</v>
      </c>
      <c r="X73" s="213"/>
      <c r="Y73" s="213"/>
      <c r="Z73" s="213"/>
      <c r="AA73" s="211"/>
      <c r="AB73" s="149"/>
      <c r="AC73" s="56"/>
      <c r="AD73" s="56"/>
      <c r="AE73" s="57"/>
    </row>
    <row r="74" spans="1:31" s="14" customFormat="1" ht="20.100000000000001" customHeight="1" x14ac:dyDescent="0.15">
      <c r="A74" s="339" t="s">
        <v>79</v>
      </c>
      <c r="B74" s="330" t="s">
        <v>130</v>
      </c>
      <c r="C74" s="155" t="s">
        <v>140</v>
      </c>
      <c r="D74" s="155">
        <v>2</v>
      </c>
      <c r="E74" s="54">
        <f t="shared" si="4"/>
        <v>8</v>
      </c>
      <c r="F74" s="218">
        <f t="shared" si="1"/>
        <v>16</v>
      </c>
      <c r="G74" s="54">
        <f t="shared" si="3"/>
        <v>16</v>
      </c>
      <c r="H74" s="202">
        <v>44281</v>
      </c>
      <c r="I74" s="203">
        <v>8</v>
      </c>
      <c r="J74" s="203">
        <v>8</v>
      </c>
      <c r="K74" s="203">
        <v>8</v>
      </c>
      <c r="L74" s="202">
        <v>44365</v>
      </c>
      <c r="M74" s="203">
        <v>0</v>
      </c>
      <c r="N74" s="203">
        <v>8</v>
      </c>
      <c r="O74" s="203">
        <v>8</v>
      </c>
      <c r="P74" s="202"/>
      <c r="Q74" s="203"/>
      <c r="R74" s="203"/>
      <c r="S74" s="203"/>
      <c r="T74" s="202"/>
      <c r="U74" s="203"/>
      <c r="V74" s="203"/>
      <c r="W74" s="203"/>
      <c r="X74" s="213"/>
      <c r="Y74" s="213"/>
      <c r="Z74" s="213"/>
      <c r="AA74" s="211"/>
      <c r="AB74" s="149"/>
      <c r="AC74" s="56"/>
      <c r="AD74" s="56"/>
      <c r="AE74" s="57"/>
    </row>
    <row r="75" spans="1:31" s="14" customFormat="1" ht="20.100000000000001" customHeight="1" x14ac:dyDescent="0.15">
      <c r="A75" s="339"/>
      <c r="B75" s="330"/>
      <c r="C75" s="155" t="s">
        <v>148</v>
      </c>
      <c r="D75" s="155">
        <v>4</v>
      </c>
      <c r="E75" s="54">
        <f t="shared" si="4"/>
        <v>17</v>
      </c>
      <c r="F75" s="218">
        <f t="shared" si="1"/>
        <v>58</v>
      </c>
      <c r="G75" s="54">
        <f t="shared" si="3"/>
        <v>58</v>
      </c>
      <c r="H75" s="202">
        <v>44232</v>
      </c>
      <c r="I75" s="203">
        <v>9</v>
      </c>
      <c r="J75" s="203">
        <v>9</v>
      </c>
      <c r="K75" s="203">
        <v>9</v>
      </c>
      <c r="L75" s="202">
        <v>44301</v>
      </c>
      <c r="M75" s="203">
        <v>4</v>
      </c>
      <c r="N75" s="203">
        <v>13</v>
      </c>
      <c r="O75" s="203">
        <v>13</v>
      </c>
      <c r="P75" s="202">
        <v>44379</v>
      </c>
      <c r="Q75" s="203">
        <v>4</v>
      </c>
      <c r="R75" s="203">
        <v>19</v>
      </c>
      <c r="S75" s="203">
        <v>19</v>
      </c>
      <c r="T75" s="202">
        <v>44505</v>
      </c>
      <c r="U75" s="203">
        <v>0</v>
      </c>
      <c r="V75" s="203">
        <v>17</v>
      </c>
      <c r="W75" s="203">
        <v>17</v>
      </c>
      <c r="X75" s="213"/>
      <c r="Y75" s="213"/>
      <c r="Z75" s="213"/>
      <c r="AA75" s="211"/>
      <c r="AB75" s="149"/>
      <c r="AC75" s="56"/>
      <c r="AD75" s="56"/>
      <c r="AE75" s="57"/>
    </row>
    <row r="76" spans="1:31" s="14" customFormat="1" ht="20.100000000000001" customHeight="1" x14ac:dyDescent="0.15">
      <c r="A76" s="339"/>
      <c r="B76" s="330"/>
      <c r="C76" s="155" t="s">
        <v>213</v>
      </c>
      <c r="D76" s="155">
        <v>4</v>
      </c>
      <c r="E76" s="54">
        <f t="shared" si="4"/>
        <v>52</v>
      </c>
      <c r="F76" s="218">
        <f t="shared" si="1"/>
        <v>130</v>
      </c>
      <c r="G76" s="54">
        <f t="shared" si="3"/>
        <v>130</v>
      </c>
      <c r="H76" s="202">
        <v>44253</v>
      </c>
      <c r="I76" s="203">
        <v>52</v>
      </c>
      <c r="J76" s="203">
        <v>52</v>
      </c>
      <c r="K76" s="203">
        <v>52</v>
      </c>
      <c r="L76" s="202">
        <v>44309</v>
      </c>
      <c r="M76" s="203">
        <v>0</v>
      </c>
      <c r="N76" s="203">
        <v>3</v>
      </c>
      <c r="O76" s="203">
        <v>3</v>
      </c>
      <c r="P76" s="202">
        <v>44431</v>
      </c>
      <c r="Q76" s="203">
        <v>0</v>
      </c>
      <c r="R76" s="203">
        <v>55</v>
      </c>
      <c r="S76" s="203">
        <v>55</v>
      </c>
      <c r="T76" s="202">
        <v>44543</v>
      </c>
      <c r="U76" s="203">
        <v>0</v>
      </c>
      <c r="V76" s="203">
        <v>20</v>
      </c>
      <c r="W76" s="203">
        <v>20</v>
      </c>
      <c r="X76" s="213"/>
      <c r="Y76" s="213"/>
      <c r="Z76" s="213"/>
      <c r="AA76" s="211"/>
      <c r="AB76" s="149"/>
      <c r="AC76" s="56"/>
      <c r="AD76" s="56"/>
      <c r="AE76" s="57"/>
    </row>
    <row r="77" spans="1:31" s="14" customFormat="1" ht="20.100000000000001" customHeight="1" x14ac:dyDescent="0.15">
      <c r="A77" s="339"/>
      <c r="B77" s="330"/>
      <c r="C77" s="155" t="s">
        <v>215</v>
      </c>
      <c r="D77" s="155">
        <v>4</v>
      </c>
      <c r="E77" s="54">
        <f t="shared" si="4"/>
        <v>69</v>
      </c>
      <c r="F77" s="218">
        <f t="shared" si="1"/>
        <v>115</v>
      </c>
      <c r="G77" s="54">
        <f t="shared" si="3"/>
        <v>115</v>
      </c>
      <c r="H77" s="202">
        <v>44253</v>
      </c>
      <c r="I77" s="203">
        <v>68</v>
      </c>
      <c r="J77" s="203">
        <v>68</v>
      </c>
      <c r="K77" s="203">
        <v>68</v>
      </c>
      <c r="L77" s="202">
        <v>44312</v>
      </c>
      <c r="M77" s="203">
        <v>0</v>
      </c>
      <c r="N77" s="203">
        <v>3</v>
      </c>
      <c r="O77" s="203">
        <v>3</v>
      </c>
      <c r="P77" s="202">
        <v>44425</v>
      </c>
      <c r="Q77" s="203">
        <v>0</v>
      </c>
      <c r="R77" s="203">
        <v>35</v>
      </c>
      <c r="S77" s="203">
        <v>35</v>
      </c>
      <c r="T77" s="202">
        <v>44553</v>
      </c>
      <c r="U77" s="203">
        <v>1</v>
      </c>
      <c r="V77" s="203">
        <v>9</v>
      </c>
      <c r="W77" s="203">
        <v>9</v>
      </c>
      <c r="X77" s="213"/>
      <c r="Y77" s="213"/>
      <c r="Z77" s="213"/>
      <c r="AA77" s="211"/>
      <c r="AB77" s="149"/>
      <c r="AC77" s="56"/>
      <c r="AD77" s="56"/>
      <c r="AE77" s="57"/>
    </row>
    <row r="78" spans="1:31" s="14" customFormat="1" ht="20.100000000000001" customHeight="1" x14ac:dyDescent="0.15">
      <c r="A78" s="339"/>
      <c r="B78" s="330"/>
      <c r="C78" s="155" t="s">
        <v>195</v>
      </c>
      <c r="D78" s="155">
        <v>3</v>
      </c>
      <c r="E78" s="54">
        <f t="shared" si="4"/>
        <v>80</v>
      </c>
      <c r="F78" s="218">
        <f t="shared" si="1"/>
        <v>137</v>
      </c>
      <c r="G78" s="54">
        <f t="shared" si="3"/>
        <v>137</v>
      </c>
      <c r="H78" s="202">
        <v>44274</v>
      </c>
      <c r="I78" s="203">
        <v>76</v>
      </c>
      <c r="J78" s="203">
        <v>76</v>
      </c>
      <c r="K78" s="203">
        <v>76</v>
      </c>
      <c r="L78" s="202">
        <v>44330</v>
      </c>
      <c r="M78" s="203">
        <v>0</v>
      </c>
      <c r="N78" s="203">
        <v>0</v>
      </c>
      <c r="O78" s="203">
        <v>0</v>
      </c>
      <c r="P78" s="202">
        <v>44391</v>
      </c>
      <c r="Q78" s="203">
        <v>2</v>
      </c>
      <c r="R78" s="203">
        <v>10</v>
      </c>
      <c r="S78" s="203">
        <v>10</v>
      </c>
      <c r="T78" s="202">
        <v>44545</v>
      </c>
      <c r="U78" s="203">
        <v>2</v>
      </c>
      <c r="V78" s="203">
        <v>51</v>
      </c>
      <c r="W78" s="203">
        <v>51</v>
      </c>
      <c r="X78" s="213"/>
      <c r="Y78" s="213"/>
      <c r="Z78" s="213"/>
      <c r="AA78" s="211"/>
      <c r="AB78" s="149"/>
      <c r="AC78" s="56"/>
      <c r="AD78" s="56"/>
      <c r="AE78" s="57"/>
    </row>
    <row r="79" spans="1:31" s="14" customFormat="1" ht="20.100000000000001" customHeight="1" x14ac:dyDescent="0.15">
      <c r="A79" s="339"/>
      <c r="B79" s="330"/>
      <c r="C79" s="155" t="s">
        <v>208</v>
      </c>
      <c r="D79" s="155">
        <v>4</v>
      </c>
      <c r="E79" s="54">
        <f t="shared" si="4"/>
        <v>42</v>
      </c>
      <c r="F79" s="224">
        <f t="shared" si="1"/>
        <v>105</v>
      </c>
      <c r="G79" s="54">
        <f t="shared" si="3"/>
        <v>105</v>
      </c>
      <c r="H79" s="202">
        <v>44274</v>
      </c>
      <c r="I79" s="203">
        <v>42</v>
      </c>
      <c r="J79" s="203">
        <v>42</v>
      </c>
      <c r="K79" s="203">
        <v>42</v>
      </c>
      <c r="L79" s="202">
        <v>44344</v>
      </c>
      <c r="M79" s="203">
        <v>0</v>
      </c>
      <c r="N79" s="203">
        <v>16</v>
      </c>
      <c r="O79" s="203">
        <v>16</v>
      </c>
      <c r="P79" s="202">
        <v>44427</v>
      </c>
      <c r="Q79" s="203">
        <v>0</v>
      </c>
      <c r="R79" s="203">
        <v>34</v>
      </c>
      <c r="S79" s="203">
        <v>34</v>
      </c>
      <c r="T79" s="202">
        <v>44540</v>
      </c>
      <c r="U79" s="203">
        <v>0</v>
      </c>
      <c r="V79" s="203">
        <v>13</v>
      </c>
      <c r="W79" s="203">
        <v>13</v>
      </c>
      <c r="X79" s="213"/>
      <c r="Y79" s="213"/>
      <c r="Z79" s="213"/>
      <c r="AA79" s="211"/>
      <c r="AB79" s="149"/>
      <c r="AC79" s="56"/>
      <c r="AD79" s="56"/>
      <c r="AE79" s="57"/>
    </row>
    <row r="80" spans="1:31" s="14" customFormat="1" ht="20.100000000000001" customHeight="1" x14ac:dyDescent="0.15">
      <c r="A80" s="345"/>
      <c r="B80" s="346"/>
      <c r="C80" s="59" t="s">
        <v>131</v>
      </c>
      <c r="D80" s="59">
        <v>2</v>
      </c>
      <c r="E80" s="60">
        <f t="shared" si="4"/>
        <v>5</v>
      </c>
      <c r="F80" s="225">
        <f t="shared" si="1"/>
        <v>10</v>
      </c>
      <c r="G80" s="54">
        <f t="shared" si="3"/>
        <v>10</v>
      </c>
      <c r="H80" s="204">
        <v>44281</v>
      </c>
      <c r="I80" s="205">
        <v>5</v>
      </c>
      <c r="J80" s="205">
        <v>5</v>
      </c>
      <c r="K80" s="205">
        <v>5</v>
      </c>
      <c r="L80" s="204">
        <v>44365</v>
      </c>
      <c r="M80" s="205">
        <v>0</v>
      </c>
      <c r="N80" s="205">
        <v>5</v>
      </c>
      <c r="O80" s="205">
        <v>5</v>
      </c>
      <c r="P80" s="204"/>
      <c r="Q80" s="205"/>
      <c r="R80" s="205"/>
      <c r="S80" s="205"/>
      <c r="T80" s="204"/>
      <c r="U80" s="205"/>
      <c r="V80" s="205"/>
      <c r="W80" s="205"/>
      <c r="X80" s="214"/>
      <c r="Y80" s="214"/>
      <c r="Z80" s="214"/>
      <c r="AA80" s="212"/>
      <c r="AB80" s="150"/>
      <c r="AC80" s="62"/>
      <c r="AD80" s="62"/>
      <c r="AE80" s="63"/>
    </row>
  </sheetData>
  <mergeCells count="44">
    <mergeCell ref="AF1:AH1"/>
    <mergeCell ref="T3:W3"/>
    <mergeCell ref="X3:AA3"/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  <mergeCell ref="A24:A25"/>
    <mergeCell ref="A26:A27"/>
    <mergeCell ref="B26:B27"/>
    <mergeCell ref="A28:A35"/>
    <mergeCell ref="B28:B30"/>
    <mergeCell ref="B32:B34"/>
    <mergeCell ref="AB3:AE3"/>
    <mergeCell ref="A6:A23"/>
    <mergeCell ref="B6:B8"/>
    <mergeCell ref="B10:B15"/>
    <mergeCell ref="B16:B17"/>
    <mergeCell ref="B18:B20"/>
    <mergeCell ref="B21:B23"/>
    <mergeCell ref="A5:C5"/>
    <mergeCell ref="A1:V1"/>
    <mergeCell ref="A2:A4"/>
    <mergeCell ref="B2:B4"/>
    <mergeCell ref="C2:C4"/>
    <mergeCell ref="D2:G2"/>
    <mergeCell ref="H2:AA2"/>
    <mergeCell ref="D3:D4"/>
    <mergeCell ref="E3:E4"/>
    <mergeCell ref="F3:F4"/>
    <mergeCell ref="G3:G4"/>
    <mergeCell ref="H3:K3"/>
    <mergeCell ref="L3:O3"/>
    <mergeCell ref="P3:S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5</vt:i4>
      </vt:variant>
    </vt:vector>
  </HeadingPairs>
  <TitlesOfParts>
    <vt:vector size="18" baseType="lpstr">
      <vt:lpstr>진료실적</vt:lpstr>
      <vt:lpstr>월별</vt:lpstr>
      <vt:lpstr>VXXXXX</vt:lpstr>
      <vt:lpstr>시군별 </vt:lpstr>
      <vt:lpstr>질환별(의과)</vt:lpstr>
      <vt:lpstr>질환별(한방)</vt:lpstr>
      <vt:lpstr>질환별(치과)</vt:lpstr>
      <vt:lpstr>무의도서별(의과) </vt:lpstr>
      <vt:lpstr>무의도서별(한방과)</vt:lpstr>
      <vt:lpstr>무의도서별(치과)</vt:lpstr>
      <vt:lpstr>무의도서별(임상병리)</vt:lpstr>
      <vt:lpstr>무의도서별(방사선)</vt:lpstr>
      <vt:lpstr>보건진료소 진료실적</vt:lpstr>
      <vt:lpstr>'무의도서별(방사선)'!Print_Titles</vt:lpstr>
      <vt:lpstr>'무의도서별(의과) '!Print_Titles</vt:lpstr>
      <vt:lpstr>'무의도서별(임상병리)'!Print_Titles</vt:lpstr>
      <vt:lpstr>'무의도서별(치과)'!Print_Titles</vt:lpstr>
      <vt:lpstr>'무의도서별(한방과)'!Print_Titles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270</cp:revision>
  <cp:lastPrinted>2021-12-16T07:52:07Z</cp:lastPrinted>
  <dcterms:created xsi:type="dcterms:W3CDTF">2001-05-02T09:25:49Z</dcterms:created>
  <dcterms:modified xsi:type="dcterms:W3CDTF">2021-12-28T00:36:31Z</dcterms:modified>
  <cp:version>1000.0100.01</cp:version>
</cp:coreProperties>
</file>